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25" windowWidth="6540" windowHeight="2325" tabRatio="601" activeTab="5"/>
  </bookViews>
  <sheets>
    <sheet name="№Т-3 тит." sheetId="5" r:id="rId1"/>
    <sheet name="Штатное" sheetId="2" r:id="rId2"/>
    <sheet name="Штатное коэф." sheetId="6" r:id="rId3"/>
    <sheet name="Штатное 2017" sheetId="7" r:id="rId4"/>
    <sheet name="Штатное 2018" sheetId="8" r:id="rId5"/>
    <sheet name="Штатное 2019" sheetId="9" r:id="rId6"/>
  </sheets>
  <definedNames>
    <definedName name="_xlnm.Print_Titles" localSheetId="1">Штатное!$2:$4</definedName>
    <definedName name="_xlnm.Print_Titles" localSheetId="3">'Штатное 2017'!$2:$4</definedName>
    <definedName name="_xlnm.Print_Titles" localSheetId="4">'Штатное 2018'!$8:$10</definedName>
    <definedName name="_xlnm.Print_Titles" localSheetId="5">'Штатное 2019'!$8:$10</definedName>
    <definedName name="_xlnm.Print_Titles" localSheetId="2">'Штатное коэф.'!$2:$4</definedName>
    <definedName name="_xlnm.Print_Area" localSheetId="1">Штатное!$A$1:$O$101</definedName>
    <definedName name="_xlnm.Print_Area" localSheetId="3">'Штатное 2017'!$A$1:$R$97</definedName>
    <definedName name="_xlnm.Print_Area" localSheetId="4">'Штатное 2018'!$A$1:$R$100</definedName>
    <definedName name="_xlnm.Print_Area" localSheetId="5">'Штатное 2019'!$A$1:$R$100</definedName>
    <definedName name="_xlnm.Print_Area" localSheetId="2">'Штатное коэф.'!$A$1:$R$97</definedName>
  </definedNames>
  <calcPr calcId="145621"/>
</workbook>
</file>

<file path=xl/calcChain.xml><?xml version="1.0" encoding="utf-8"?>
<calcChain xmlns="http://schemas.openxmlformats.org/spreadsheetml/2006/main">
  <c r="C89" i="9"/>
  <c r="C93" s="1"/>
  <c r="C94" s="1"/>
  <c r="H88"/>
  <c r="C86"/>
  <c r="H82"/>
  <c r="C80"/>
  <c r="C76"/>
  <c r="H75"/>
  <c r="H74"/>
  <c r="C72"/>
  <c r="C68"/>
  <c r="H67"/>
  <c r="H66"/>
  <c r="J66" s="1"/>
  <c r="H65"/>
  <c r="H64"/>
  <c r="J64" s="1"/>
  <c r="C56"/>
  <c r="C60" s="1"/>
  <c r="J55"/>
  <c r="H55"/>
  <c r="C50"/>
  <c r="C54" s="1"/>
  <c r="H49"/>
  <c r="H50" s="1"/>
  <c r="C47"/>
  <c r="C43"/>
  <c r="H42"/>
  <c r="H41"/>
  <c r="C39"/>
  <c r="C61" s="1"/>
  <c r="C35"/>
  <c r="H34"/>
  <c r="H33"/>
  <c r="J33" s="1"/>
  <c r="H32"/>
  <c r="H31"/>
  <c r="J31" s="1"/>
  <c r="C25"/>
  <c r="C29" s="1"/>
  <c r="H24"/>
  <c r="H23"/>
  <c r="H22"/>
  <c r="H21"/>
  <c r="H20"/>
  <c r="H19"/>
  <c r="H18"/>
  <c r="H17"/>
  <c r="H16"/>
  <c r="H15"/>
  <c r="H14"/>
  <c r="H13"/>
  <c r="H12"/>
  <c r="M31" l="1"/>
  <c r="M64"/>
  <c r="N12"/>
  <c r="N13"/>
  <c r="N14"/>
  <c r="O14" s="1"/>
  <c r="N15"/>
  <c r="O15" s="1"/>
  <c r="N16"/>
  <c r="N17"/>
  <c r="N18"/>
  <c r="N19"/>
  <c r="N20"/>
  <c r="N21"/>
  <c r="O21" s="1"/>
  <c r="H25"/>
  <c r="N23"/>
  <c r="O23" s="1"/>
  <c r="O13"/>
  <c r="O16"/>
  <c r="O17"/>
  <c r="O18"/>
  <c r="O19"/>
  <c r="O20"/>
  <c r="N22"/>
  <c r="O22" s="1"/>
  <c r="N24"/>
  <c r="P24" s="1"/>
  <c r="C96"/>
  <c r="H35"/>
  <c r="H43"/>
  <c r="L49"/>
  <c r="H68"/>
  <c r="H76"/>
  <c r="L82"/>
  <c r="L88"/>
  <c r="K31"/>
  <c r="J32"/>
  <c r="N33"/>
  <c r="J34"/>
  <c r="N41"/>
  <c r="P41" s="1"/>
  <c r="K42"/>
  <c r="K49"/>
  <c r="L55"/>
  <c r="K64"/>
  <c r="N64" s="1"/>
  <c r="J65"/>
  <c r="N66"/>
  <c r="O66" s="1"/>
  <c r="J67"/>
  <c r="N74"/>
  <c r="K75"/>
  <c r="K82"/>
  <c r="J88"/>
  <c r="C65" i="2"/>
  <c r="H60"/>
  <c r="N60" s="1"/>
  <c r="O60" s="1"/>
  <c r="O24" i="9" l="1"/>
  <c r="Q23"/>
  <c r="R23" s="1"/>
  <c r="P23"/>
  <c r="Q21"/>
  <c r="R21" s="1"/>
  <c r="P21"/>
  <c r="O88"/>
  <c r="N88"/>
  <c r="N82"/>
  <c r="P82" s="1"/>
  <c r="P64"/>
  <c r="Q24"/>
  <c r="R24" s="1"/>
  <c r="N49"/>
  <c r="P49" s="1"/>
  <c r="N31"/>
  <c r="P31" s="1"/>
  <c r="N75"/>
  <c r="O75" s="1"/>
  <c r="O74"/>
  <c r="N55"/>
  <c r="O55" s="1"/>
  <c r="O49"/>
  <c r="N42"/>
  <c r="O41"/>
  <c r="O33"/>
  <c r="N32"/>
  <c r="P66"/>
  <c r="Q66" s="1"/>
  <c r="R66" s="1"/>
  <c r="P33"/>
  <c r="P22"/>
  <c r="Q22" s="1"/>
  <c r="R22" s="1"/>
  <c r="P88"/>
  <c r="Q88" s="1"/>
  <c r="R88" s="1"/>
  <c r="R89" s="1"/>
  <c r="R93" s="1"/>
  <c r="P74"/>
  <c r="P20"/>
  <c r="Q20" s="1"/>
  <c r="R20" s="1"/>
  <c r="P19"/>
  <c r="Q19" s="1"/>
  <c r="R19" s="1"/>
  <c r="P18"/>
  <c r="Q18" s="1"/>
  <c r="R18" s="1"/>
  <c r="P17"/>
  <c r="Q17" s="1"/>
  <c r="R17" s="1"/>
  <c r="P16"/>
  <c r="Q16" s="1"/>
  <c r="R16" s="1"/>
  <c r="P15"/>
  <c r="P14"/>
  <c r="Q14" s="1"/>
  <c r="R14" s="1"/>
  <c r="P13"/>
  <c r="Q13" s="1"/>
  <c r="R13" s="1"/>
  <c r="P12"/>
  <c r="Q15"/>
  <c r="R15" s="1"/>
  <c r="N67"/>
  <c r="P67" s="1"/>
  <c r="N65"/>
  <c r="O65" s="1"/>
  <c r="O64"/>
  <c r="Q64" s="1"/>
  <c r="R64" s="1"/>
  <c r="P42"/>
  <c r="Q41"/>
  <c r="R41" s="1"/>
  <c r="N34"/>
  <c r="O34" s="1"/>
  <c r="P32"/>
  <c r="O31"/>
  <c r="Q31" s="1"/>
  <c r="R31" s="1"/>
  <c r="O12"/>
  <c r="H72" i="2"/>
  <c r="N72"/>
  <c r="O72" s="1"/>
  <c r="H37"/>
  <c r="N37" s="1"/>
  <c r="O37" s="1"/>
  <c r="Q33" i="9" l="1"/>
  <c r="R33" s="1"/>
  <c r="Q12"/>
  <c r="R12" s="1"/>
  <c r="P55"/>
  <c r="Q74"/>
  <c r="R74" s="1"/>
  <c r="O82"/>
  <c r="Q82" s="1"/>
  <c r="R82" s="1"/>
  <c r="R86" s="1"/>
  <c r="R25"/>
  <c r="R29" s="1"/>
  <c r="O42"/>
  <c r="Q42" s="1"/>
  <c r="R42" s="1"/>
  <c r="R43" s="1"/>
  <c r="R47" s="1"/>
  <c r="O67"/>
  <c r="Q49"/>
  <c r="R49" s="1"/>
  <c r="R50" s="1"/>
  <c r="R54" s="1"/>
  <c r="Q67"/>
  <c r="R67" s="1"/>
  <c r="Q55"/>
  <c r="R55" s="1"/>
  <c r="R56" s="1"/>
  <c r="R60" s="1"/>
  <c r="P34"/>
  <c r="Q34" s="1"/>
  <c r="R34" s="1"/>
  <c r="P65"/>
  <c r="O32"/>
  <c r="Q32" s="1"/>
  <c r="R32" s="1"/>
  <c r="R35" s="1"/>
  <c r="R39" s="1"/>
  <c r="Q65"/>
  <c r="R65" s="1"/>
  <c r="R68" s="1"/>
  <c r="R72" s="1"/>
  <c r="P75"/>
  <c r="Q75" s="1"/>
  <c r="R75" s="1"/>
  <c r="R76" s="1"/>
  <c r="R80" s="1"/>
  <c r="H24" i="2"/>
  <c r="N24" s="1"/>
  <c r="O24" s="1"/>
  <c r="R94" i="9" l="1"/>
  <c r="R61"/>
  <c r="R96" s="1"/>
  <c r="H17" i="8"/>
  <c r="C89" l="1"/>
  <c r="C93" s="1"/>
  <c r="H88"/>
  <c r="C86"/>
  <c r="H82"/>
  <c r="C80"/>
  <c r="C76"/>
  <c r="H75"/>
  <c r="H74"/>
  <c r="C72"/>
  <c r="C68"/>
  <c r="H67"/>
  <c r="H66"/>
  <c r="J66" s="1"/>
  <c r="H65"/>
  <c r="H64"/>
  <c r="J64" s="1"/>
  <c r="C56"/>
  <c r="C60" s="1"/>
  <c r="H55"/>
  <c r="J55" s="1"/>
  <c r="C50"/>
  <c r="C54" s="1"/>
  <c r="H49"/>
  <c r="H50" s="1"/>
  <c r="C43"/>
  <c r="C47" s="1"/>
  <c r="H42"/>
  <c r="H41"/>
  <c r="C35"/>
  <c r="C39" s="1"/>
  <c r="C61" s="1"/>
  <c r="H34"/>
  <c r="H33"/>
  <c r="J33" s="1"/>
  <c r="H32"/>
  <c r="H31"/>
  <c r="J31" s="1"/>
  <c r="C25"/>
  <c r="C29" s="1"/>
  <c r="H24"/>
  <c r="H23"/>
  <c r="H22"/>
  <c r="H21"/>
  <c r="H20"/>
  <c r="H19"/>
  <c r="H18"/>
  <c r="H16"/>
  <c r="H15"/>
  <c r="H14"/>
  <c r="H13"/>
  <c r="H12"/>
  <c r="C94" l="1"/>
  <c r="C96" s="1"/>
  <c r="M31"/>
  <c r="M64"/>
  <c r="N22"/>
  <c r="P22" s="1"/>
  <c r="N12"/>
  <c r="N13"/>
  <c r="N14"/>
  <c r="N15"/>
  <c r="O15" s="1"/>
  <c r="N16"/>
  <c r="O16" s="1"/>
  <c r="N17"/>
  <c r="P17" s="1"/>
  <c r="N18"/>
  <c r="N19"/>
  <c r="N20"/>
  <c r="P20" s="1"/>
  <c r="N21"/>
  <c r="O21" s="1"/>
  <c r="O22"/>
  <c r="H25"/>
  <c r="N23"/>
  <c r="O23" s="1"/>
  <c r="O13"/>
  <c r="O14"/>
  <c r="O17"/>
  <c r="O18"/>
  <c r="N24"/>
  <c r="P24" s="1"/>
  <c r="H35"/>
  <c r="H43"/>
  <c r="L49"/>
  <c r="H68"/>
  <c r="H76"/>
  <c r="L82"/>
  <c r="L88"/>
  <c r="K31"/>
  <c r="N31"/>
  <c r="J32"/>
  <c r="N33"/>
  <c r="O33" s="1"/>
  <c r="J34"/>
  <c r="N41"/>
  <c r="P41" s="1"/>
  <c r="K42"/>
  <c r="K49"/>
  <c r="N49" s="1"/>
  <c r="P49" s="1"/>
  <c r="L55"/>
  <c r="K64"/>
  <c r="J65"/>
  <c r="N66"/>
  <c r="P66" s="1"/>
  <c r="J67"/>
  <c r="N74"/>
  <c r="P74" s="1"/>
  <c r="K75"/>
  <c r="N75" s="1"/>
  <c r="K82"/>
  <c r="J88"/>
  <c r="H6" i="2"/>
  <c r="O24" i="8" l="1"/>
  <c r="Q24" s="1"/>
  <c r="R24" s="1"/>
  <c r="P16"/>
  <c r="Q17"/>
  <c r="R17" s="1"/>
  <c r="P31"/>
  <c r="P23"/>
  <c r="Q23" s="1"/>
  <c r="R23" s="1"/>
  <c r="P18"/>
  <c r="Q18" s="1"/>
  <c r="R18" s="1"/>
  <c r="Q22"/>
  <c r="R22" s="1"/>
  <c r="N88"/>
  <c r="P88" s="1"/>
  <c r="N82"/>
  <c r="O82" s="1"/>
  <c r="O75"/>
  <c r="N64"/>
  <c r="O88"/>
  <c r="P75"/>
  <c r="N67"/>
  <c r="O67" s="1"/>
  <c r="O66"/>
  <c r="N65"/>
  <c r="P65" s="1"/>
  <c r="N55"/>
  <c r="P55" s="1"/>
  <c r="O49"/>
  <c r="Q49" s="1"/>
  <c r="R49" s="1"/>
  <c r="R50" s="1"/>
  <c r="R54" s="1"/>
  <c r="N42"/>
  <c r="O42" s="1"/>
  <c r="O41"/>
  <c r="N32"/>
  <c r="O32" s="1"/>
  <c r="Q75"/>
  <c r="R75" s="1"/>
  <c r="P33"/>
  <c r="Q33" s="1"/>
  <c r="R33" s="1"/>
  <c r="P82"/>
  <c r="P21"/>
  <c r="Q21" s="1"/>
  <c r="R21" s="1"/>
  <c r="P14"/>
  <c r="Q14" s="1"/>
  <c r="R14" s="1"/>
  <c r="P13"/>
  <c r="Q13" s="1"/>
  <c r="R13" s="1"/>
  <c r="P12"/>
  <c r="P64"/>
  <c r="O20"/>
  <c r="O19"/>
  <c r="O12"/>
  <c r="Q12" s="1"/>
  <c r="R12" s="1"/>
  <c r="P19"/>
  <c r="P15"/>
  <c r="Q15" s="1"/>
  <c r="R15" s="1"/>
  <c r="Q16"/>
  <c r="R16" s="1"/>
  <c r="O74"/>
  <c r="Q74" s="1"/>
  <c r="R74" s="1"/>
  <c r="R76" s="1"/>
  <c r="R80" s="1"/>
  <c r="Q66"/>
  <c r="R66" s="1"/>
  <c r="O64"/>
  <c r="Q41"/>
  <c r="R41" s="1"/>
  <c r="N34"/>
  <c r="O34" s="1"/>
  <c r="P32"/>
  <c r="O31"/>
  <c r="Q31" s="1"/>
  <c r="R31" s="1"/>
  <c r="Q20"/>
  <c r="R20" s="1"/>
  <c r="H82" i="7"/>
  <c r="H76"/>
  <c r="H69"/>
  <c r="H68"/>
  <c r="H61"/>
  <c r="H60"/>
  <c r="H59"/>
  <c r="H58"/>
  <c r="H49"/>
  <c r="H43"/>
  <c r="H36"/>
  <c r="H35"/>
  <c r="H26"/>
  <c r="H27"/>
  <c r="H28"/>
  <c r="H25"/>
  <c r="H11"/>
  <c r="H12"/>
  <c r="H13"/>
  <c r="H14"/>
  <c r="H15"/>
  <c r="H16"/>
  <c r="H17"/>
  <c r="H18"/>
  <c r="H6"/>
  <c r="H7"/>
  <c r="H8"/>
  <c r="H9"/>
  <c r="H10"/>
  <c r="C83"/>
  <c r="C87" s="1"/>
  <c r="C80"/>
  <c r="C70"/>
  <c r="C74" s="1"/>
  <c r="C62"/>
  <c r="C66" s="1"/>
  <c r="M58"/>
  <c r="J58"/>
  <c r="C50"/>
  <c r="C54" s="1"/>
  <c r="J49"/>
  <c r="C44"/>
  <c r="C48" s="1"/>
  <c r="H44"/>
  <c r="C41"/>
  <c r="C37"/>
  <c r="C33"/>
  <c r="C55" s="1"/>
  <c r="C29"/>
  <c r="J27"/>
  <c r="M25"/>
  <c r="J25"/>
  <c r="C19"/>
  <c r="C23" s="1"/>
  <c r="N14"/>
  <c r="P14" s="1"/>
  <c r="N13"/>
  <c r="P13" s="1"/>
  <c r="N12"/>
  <c r="P12" s="1"/>
  <c r="N11"/>
  <c r="P11" s="1"/>
  <c r="N10"/>
  <c r="P10" s="1"/>
  <c r="N9"/>
  <c r="P9" s="1"/>
  <c r="N8"/>
  <c r="P8" s="1"/>
  <c r="N7"/>
  <c r="P7" s="1"/>
  <c r="N6"/>
  <c r="P6" s="1"/>
  <c r="Q88" i="8" l="1"/>
  <c r="R88" s="1"/>
  <c r="R89" s="1"/>
  <c r="R93" s="1"/>
  <c r="Q19"/>
  <c r="R19" s="1"/>
  <c r="R25" s="1"/>
  <c r="R29" s="1"/>
  <c r="Q64"/>
  <c r="R64" s="1"/>
  <c r="Q82"/>
  <c r="R82" s="1"/>
  <c r="R86" s="1"/>
  <c r="O55"/>
  <c r="Q55" s="1"/>
  <c r="R55" s="1"/>
  <c r="R56" s="1"/>
  <c r="R60" s="1"/>
  <c r="O65"/>
  <c r="Q65" s="1"/>
  <c r="R65" s="1"/>
  <c r="P67"/>
  <c r="Q67" s="1"/>
  <c r="R67" s="1"/>
  <c r="P34"/>
  <c r="Q34" s="1"/>
  <c r="R34" s="1"/>
  <c r="Q32"/>
  <c r="R32" s="1"/>
  <c r="P42"/>
  <c r="Q42" s="1"/>
  <c r="R42" s="1"/>
  <c r="R43" s="1"/>
  <c r="R47" s="1"/>
  <c r="N15" i="7"/>
  <c r="P15" s="1"/>
  <c r="H19"/>
  <c r="N17"/>
  <c r="P17" s="1"/>
  <c r="O6"/>
  <c r="Q6" s="1"/>
  <c r="R6" s="1"/>
  <c r="O7"/>
  <c r="Q7" s="1"/>
  <c r="R7" s="1"/>
  <c r="O8"/>
  <c r="Q8" s="1"/>
  <c r="R8" s="1"/>
  <c r="O9"/>
  <c r="Q9" s="1"/>
  <c r="R9" s="1"/>
  <c r="O10"/>
  <c r="Q10" s="1"/>
  <c r="R10" s="1"/>
  <c r="O11"/>
  <c r="Q11" s="1"/>
  <c r="R11" s="1"/>
  <c r="O12"/>
  <c r="Q12" s="1"/>
  <c r="R12" s="1"/>
  <c r="O13"/>
  <c r="Q13" s="1"/>
  <c r="R13" s="1"/>
  <c r="O14"/>
  <c r="Q14" s="1"/>
  <c r="R14" s="1"/>
  <c r="O15"/>
  <c r="N16"/>
  <c r="O16" s="1"/>
  <c r="O17"/>
  <c r="N18"/>
  <c r="O18" s="1"/>
  <c r="C88"/>
  <c r="C90" s="1"/>
  <c r="H29"/>
  <c r="H37"/>
  <c r="L43"/>
  <c r="J60"/>
  <c r="H62"/>
  <c r="H70"/>
  <c r="L76"/>
  <c r="L82"/>
  <c r="K25"/>
  <c r="J26"/>
  <c r="N26" s="1"/>
  <c r="N27"/>
  <c r="J28"/>
  <c r="N35"/>
  <c r="O35" s="1"/>
  <c r="K36"/>
  <c r="K43"/>
  <c r="L49"/>
  <c r="K58"/>
  <c r="J59"/>
  <c r="N60"/>
  <c r="O60" s="1"/>
  <c r="J61"/>
  <c r="N68"/>
  <c r="K69"/>
  <c r="K76"/>
  <c r="N76" s="1"/>
  <c r="J82"/>
  <c r="N82"/>
  <c r="H8" i="6"/>
  <c r="N8" s="1"/>
  <c r="H9"/>
  <c r="N9" s="1"/>
  <c r="P9" s="1"/>
  <c r="H10"/>
  <c r="N10" s="1"/>
  <c r="H11"/>
  <c r="N11" s="1"/>
  <c r="H12"/>
  <c r="N12" s="1"/>
  <c r="H13"/>
  <c r="N13" s="1"/>
  <c r="P13" s="1"/>
  <c r="H14"/>
  <c r="N14" s="1"/>
  <c r="H15"/>
  <c r="N15" s="1"/>
  <c r="H16"/>
  <c r="N16" s="1"/>
  <c r="H17"/>
  <c r="N17" s="1"/>
  <c r="P17" s="1"/>
  <c r="H18"/>
  <c r="N18" s="1"/>
  <c r="H7"/>
  <c r="N7" s="1"/>
  <c r="H25"/>
  <c r="H26"/>
  <c r="H27"/>
  <c r="H28"/>
  <c r="H6"/>
  <c r="C19"/>
  <c r="C23"/>
  <c r="K25"/>
  <c r="J27"/>
  <c r="C29"/>
  <c r="C33"/>
  <c r="H35"/>
  <c r="N35" s="1"/>
  <c r="O35" s="1"/>
  <c r="H36"/>
  <c r="K36" s="1"/>
  <c r="C37"/>
  <c r="C41" s="1"/>
  <c r="H43"/>
  <c r="K43" s="1"/>
  <c r="L43"/>
  <c r="C44"/>
  <c r="H44"/>
  <c r="C48"/>
  <c r="H49"/>
  <c r="L49" s="1"/>
  <c r="C50"/>
  <c r="C54" s="1"/>
  <c r="H58"/>
  <c r="M58" s="1"/>
  <c r="H59"/>
  <c r="H60"/>
  <c r="J60"/>
  <c r="H61"/>
  <c r="C62"/>
  <c r="C66"/>
  <c r="H68"/>
  <c r="H69"/>
  <c r="C70"/>
  <c r="H70"/>
  <c r="C74"/>
  <c r="H76"/>
  <c r="C80"/>
  <c r="H82"/>
  <c r="L82" s="1"/>
  <c r="C83"/>
  <c r="C87" s="1"/>
  <c r="C88" s="1"/>
  <c r="H14" i="2"/>
  <c r="N14" s="1"/>
  <c r="O14" s="1"/>
  <c r="H7"/>
  <c r="N7" s="1"/>
  <c r="O7" s="1"/>
  <c r="H10"/>
  <c r="N10" s="1"/>
  <c r="O10" s="1"/>
  <c r="H9"/>
  <c r="N9" s="1"/>
  <c r="O9" s="1"/>
  <c r="H86"/>
  <c r="J86" s="1"/>
  <c r="H17"/>
  <c r="N17" s="1"/>
  <c r="O17" s="1"/>
  <c r="N6"/>
  <c r="O6" s="1"/>
  <c r="H8"/>
  <c r="N8" s="1"/>
  <c r="O8" s="1"/>
  <c r="H11"/>
  <c r="N11" s="1"/>
  <c r="O11" s="1"/>
  <c r="H12"/>
  <c r="N12" s="1"/>
  <c r="O12" s="1"/>
  <c r="H15"/>
  <c r="N15" s="1"/>
  <c r="O15" s="1"/>
  <c r="H13"/>
  <c r="N13" s="1"/>
  <c r="O13" s="1"/>
  <c r="H16"/>
  <c r="N16" s="1"/>
  <c r="O16" s="1"/>
  <c r="H80"/>
  <c r="H25"/>
  <c r="H38"/>
  <c r="H45"/>
  <c r="H61"/>
  <c r="H73"/>
  <c r="H64"/>
  <c r="H63"/>
  <c r="H62"/>
  <c r="H29"/>
  <c r="H28"/>
  <c r="J28" s="1"/>
  <c r="H27"/>
  <c r="N27" s="1"/>
  <c r="O27" s="1"/>
  <c r="H26"/>
  <c r="M61"/>
  <c r="H71"/>
  <c r="N71"/>
  <c r="O71" s="1"/>
  <c r="L86"/>
  <c r="C18"/>
  <c r="C22" s="1"/>
  <c r="C69"/>
  <c r="H51"/>
  <c r="J51" s="1"/>
  <c r="L45"/>
  <c r="H36"/>
  <c r="N36" s="1"/>
  <c r="O36" s="1"/>
  <c r="N29"/>
  <c r="O29" s="1"/>
  <c r="C30"/>
  <c r="C34" s="1"/>
  <c r="C39"/>
  <c r="C43" s="1"/>
  <c r="C46"/>
  <c r="C50" s="1"/>
  <c r="C52"/>
  <c r="C56" s="1"/>
  <c r="C87"/>
  <c r="C91" s="1"/>
  <c r="C84"/>
  <c r="C74"/>
  <c r="C78" s="1"/>
  <c r="H30"/>
  <c r="C92" l="1"/>
  <c r="R35" i="8"/>
  <c r="R39" s="1"/>
  <c r="R68"/>
  <c r="R72" s="1"/>
  <c r="R94" s="1"/>
  <c r="R61"/>
  <c r="P82" i="7"/>
  <c r="P60"/>
  <c r="N58"/>
  <c r="P58" s="1"/>
  <c r="N43"/>
  <c r="P43" s="1"/>
  <c r="O26"/>
  <c r="N25"/>
  <c r="P25" s="1"/>
  <c r="O76"/>
  <c r="N69"/>
  <c r="O69" s="1"/>
  <c r="O68"/>
  <c r="Q60"/>
  <c r="R60" s="1"/>
  <c r="N59"/>
  <c r="O59" s="1"/>
  <c r="N28"/>
  <c r="O28" s="1"/>
  <c r="P26"/>
  <c r="O25"/>
  <c r="P68"/>
  <c r="P35"/>
  <c r="Q35" s="1"/>
  <c r="R35" s="1"/>
  <c r="P18"/>
  <c r="Q18" s="1"/>
  <c r="R18" s="1"/>
  <c r="P16"/>
  <c r="Q16" s="1"/>
  <c r="R16" s="1"/>
  <c r="P76"/>
  <c r="P27"/>
  <c r="Q17"/>
  <c r="R17" s="1"/>
  <c r="Q15"/>
  <c r="R15" s="1"/>
  <c r="O82"/>
  <c r="Q82" s="1"/>
  <c r="R82" s="1"/>
  <c r="R83" s="1"/>
  <c r="R87" s="1"/>
  <c r="P69"/>
  <c r="N61"/>
  <c r="O61" s="1"/>
  <c r="N49"/>
  <c r="O49" s="1"/>
  <c r="N36"/>
  <c r="P28"/>
  <c r="O27"/>
  <c r="Q27" s="1"/>
  <c r="R27" s="1"/>
  <c r="L51" i="2"/>
  <c r="N86"/>
  <c r="O86" s="1"/>
  <c r="O87" s="1"/>
  <c r="N28"/>
  <c r="O28" s="1"/>
  <c r="O18"/>
  <c r="O19" s="1"/>
  <c r="H62" i="6"/>
  <c r="H37"/>
  <c r="M25"/>
  <c r="J25"/>
  <c r="Q25" s="1"/>
  <c r="R25" s="1"/>
  <c r="O18"/>
  <c r="P15"/>
  <c r="O14"/>
  <c r="P11"/>
  <c r="O10"/>
  <c r="P7"/>
  <c r="N26" i="2"/>
  <c r="O26" s="1"/>
  <c r="N51"/>
  <c r="O51" s="1"/>
  <c r="O52" s="1"/>
  <c r="O53" s="1"/>
  <c r="O54" s="1"/>
  <c r="N43" i="6"/>
  <c r="O43" s="1"/>
  <c r="N36"/>
  <c r="O36" s="1"/>
  <c r="N25"/>
  <c r="O25" s="1"/>
  <c r="N27"/>
  <c r="O27" s="1"/>
  <c r="O88" i="2"/>
  <c r="O90" s="1"/>
  <c r="O21"/>
  <c r="N62"/>
  <c r="O62" s="1"/>
  <c r="N64"/>
  <c r="O64" s="1"/>
  <c r="K61"/>
  <c r="K38"/>
  <c r="N38" s="1"/>
  <c r="O38" s="1"/>
  <c r="O39" s="1"/>
  <c r="H39"/>
  <c r="K80"/>
  <c r="K76" i="6"/>
  <c r="N68"/>
  <c r="P68"/>
  <c r="O68"/>
  <c r="Q68"/>
  <c r="R68" s="1"/>
  <c r="C57" i="2"/>
  <c r="C94" s="1"/>
  <c r="L80"/>
  <c r="N61"/>
  <c r="O61" s="1"/>
  <c r="O65" s="1"/>
  <c r="J63"/>
  <c r="N63" s="1"/>
  <c r="O63" s="1"/>
  <c r="K73"/>
  <c r="N73" s="1"/>
  <c r="O73" s="1"/>
  <c r="O74" s="1"/>
  <c r="K45"/>
  <c r="N45" s="1"/>
  <c r="O45" s="1"/>
  <c r="O46" s="1"/>
  <c r="H46"/>
  <c r="K25"/>
  <c r="M25"/>
  <c r="J82" i="6"/>
  <c r="L76"/>
  <c r="K69"/>
  <c r="J61"/>
  <c r="N61" s="1"/>
  <c r="J59"/>
  <c r="J58"/>
  <c r="N58" s="1"/>
  <c r="K58"/>
  <c r="C55"/>
  <c r="C90" s="1"/>
  <c r="H19"/>
  <c r="N6"/>
  <c r="N60"/>
  <c r="J49"/>
  <c r="J28"/>
  <c r="H29"/>
  <c r="J26"/>
  <c r="N26" s="1"/>
  <c r="O26" s="1"/>
  <c r="P6"/>
  <c r="O16"/>
  <c r="O12"/>
  <c r="O8"/>
  <c r="P18"/>
  <c r="Q18" s="1"/>
  <c r="R18" s="1"/>
  <c r="O17"/>
  <c r="Q17" s="1"/>
  <c r="R17" s="1"/>
  <c r="P16"/>
  <c r="O15"/>
  <c r="Q15" s="1"/>
  <c r="R15" s="1"/>
  <c r="P14"/>
  <c r="Q14" s="1"/>
  <c r="R14" s="1"/>
  <c r="O13"/>
  <c r="Q13" s="1"/>
  <c r="R13" s="1"/>
  <c r="P12"/>
  <c r="O11"/>
  <c r="Q11" s="1"/>
  <c r="R11" s="1"/>
  <c r="P10"/>
  <c r="Q10" s="1"/>
  <c r="R10" s="1"/>
  <c r="O9"/>
  <c r="Q9" s="1"/>
  <c r="R9" s="1"/>
  <c r="P8"/>
  <c r="Q8" s="1"/>
  <c r="R8" s="1"/>
  <c r="O7"/>
  <c r="Q7" s="1"/>
  <c r="R7" s="1"/>
  <c r="P25"/>
  <c r="P27"/>
  <c r="Q27" s="1"/>
  <c r="R27" s="1"/>
  <c r="P35"/>
  <c r="Q35" s="1"/>
  <c r="R35" s="1"/>
  <c r="P36"/>
  <c r="P43"/>
  <c r="R96" i="8" l="1"/>
  <c r="O20" i="2"/>
  <c r="O89"/>
  <c r="O91" s="1"/>
  <c r="Q26" i="7"/>
  <c r="R26" s="1"/>
  <c r="Q76"/>
  <c r="R76" s="1"/>
  <c r="R80" s="1"/>
  <c r="Q68"/>
  <c r="R68" s="1"/>
  <c r="O58"/>
  <c r="Q58" s="1"/>
  <c r="R58" s="1"/>
  <c r="Q25"/>
  <c r="R25" s="1"/>
  <c r="R19"/>
  <c r="R23" s="1"/>
  <c r="P61"/>
  <c r="Q61" s="1"/>
  <c r="R61" s="1"/>
  <c r="Q28"/>
  <c r="R28" s="1"/>
  <c r="R29" s="1"/>
  <c r="R33" s="1"/>
  <c r="O43"/>
  <c r="Q43" s="1"/>
  <c r="R43" s="1"/>
  <c r="R44" s="1"/>
  <c r="R48" s="1"/>
  <c r="P49"/>
  <c r="Q49" s="1"/>
  <c r="R49" s="1"/>
  <c r="R50" s="1"/>
  <c r="R54" s="1"/>
  <c r="P36"/>
  <c r="O36"/>
  <c r="Q36" s="1"/>
  <c r="R36" s="1"/>
  <c r="R37" s="1"/>
  <c r="R41" s="1"/>
  <c r="P59"/>
  <c r="Q59" s="1"/>
  <c r="R59" s="1"/>
  <c r="Q69"/>
  <c r="R69" s="1"/>
  <c r="O55" i="2"/>
  <c r="O56" s="1"/>
  <c r="Q16" i="6"/>
  <c r="R16" s="1"/>
  <c r="Q12"/>
  <c r="R12" s="1"/>
  <c r="N76"/>
  <c r="P76" s="1"/>
  <c r="Q76" s="1"/>
  <c r="R76" s="1"/>
  <c r="R80" s="1"/>
  <c r="Q43"/>
  <c r="R43" s="1"/>
  <c r="R44" s="1"/>
  <c r="R48" s="1"/>
  <c r="Q36"/>
  <c r="R36" s="1"/>
  <c r="O6"/>
  <c r="Q6" s="1"/>
  <c r="R6" s="1"/>
  <c r="R19" s="1"/>
  <c r="R23" s="1"/>
  <c r="N59"/>
  <c r="O59" s="1"/>
  <c r="N69"/>
  <c r="O69" s="1"/>
  <c r="N82"/>
  <c r="O82" s="1"/>
  <c r="N25" i="2"/>
  <c r="O25" s="1"/>
  <c r="O30" s="1"/>
  <c r="O31" s="1"/>
  <c r="O66"/>
  <c r="O76" i="6"/>
  <c r="N80" i="2"/>
  <c r="O80" s="1"/>
  <c r="O81" s="1"/>
  <c r="O83" s="1"/>
  <c r="O22"/>
  <c r="O75"/>
  <c r="O40"/>
  <c r="O41" s="1"/>
  <c r="R37" i="6"/>
  <c r="R41" s="1"/>
  <c r="P58"/>
  <c r="O58"/>
  <c r="Q58" s="1"/>
  <c r="R58" s="1"/>
  <c r="O47" i="2"/>
  <c r="O49" s="1"/>
  <c r="N49" i="6"/>
  <c r="O49" s="1"/>
  <c r="P61"/>
  <c r="O60"/>
  <c r="Q60" s="1"/>
  <c r="R60" s="1"/>
  <c r="P26"/>
  <c r="Q26" s="1"/>
  <c r="R26" s="1"/>
  <c r="N28"/>
  <c r="P49"/>
  <c r="P60"/>
  <c r="Q61"/>
  <c r="R61" s="1"/>
  <c r="O61"/>
  <c r="O77" i="2" l="1"/>
  <c r="R70" i="7"/>
  <c r="R74" s="1"/>
  <c r="R62"/>
  <c r="R66" s="1"/>
  <c r="R55"/>
  <c r="O82" i="2"/>
  <c r="O84" s="1"/>
  <c r="O42"/>
  <c r="O43" s="1"/>
  <c r="O76"/>
  <c r="O78" s="1"/>
  <c r="O32"/>
  <c r="O33"/>
  <c r="O48"/>
  <c r="O50" s="1"/>
  <c r="P82" i="6"/>
  <c r="Q82" s="1"/>
  <c r="R82" s="1"/>
  <c r="R83" s="1"/>
  <c r="R87" s="1"/>
  <c r="P69"/>
  <c r="Q69" s="1"/>
  <c r="R69" s="1"/>
  <c r="R70" s="1"/>
  <c r="R74" s="1"/>
  <c r="P59"/>
  <c r="Q59" s="1"/>
  <c r="R59" s="1"/>
  <c r="R62" s="1"/>
  <c r="R66" s="1"/>
  <c r="R88" s="1"/>
  <c r="O67" i="2"/>
  <c r="P28" i="6"/>
  <c r="O28"/>
  <c r="Q49"/>
  <c r="R49" s="1"/>
  <c r="R50" s="1"/>
  <c r="R54" s="1"/>
  <c r="O68" i="2"/>
  <c r="R88" i="7" l="1"/>
  <c r="R90" s="1"/>
  <c r="O34" i="2"/>
  <c r="O57" s="1"/>
  <c r="O69"/>
  <c r="O92" s="1"/>
  <c r="Q28" i="6"/>
  <c r="O94" i="2" l="1"/>
  <c r="R28" i="6"/>
  <c r="R29" s="1"/>
  <c r="R33" s="1"/>
  <c r="R55" s="1"/>
  <c r="R90" s="1"/>
</calcChain>
</file>

<file path=xl/sharedStrings.xml><?xml version="1.0" encoding="utf-8"?>
<sst xmlns="http://schemas.openxmlformats.org/spreadsheetml/2006/main" count="621" uniqueCount="93">
  <si>
    <t>Слесарь-сантехник</t>
  </si>
  <si>
    <t>Оператор котельной</t>
  </si>
  <si>
    <t>Раз-</t>
  </si>
  <si>
    <t>ряд</t>
  </si>
  <si>
    <t>Вред-</t>
  </si>
  <si>
    <t>ность</t>
  </si>
  <si>
    <t>Мастер участка</t>
  </si>
  <si>
    <t>Водораздатчик</t>
  </si>
  <si>
    <t>Профессия, должность</t>
  </si>
  <si>
    <t>Код по</t>
  </si>
  <si>
    <t>ЕТКС</t>
  </si>
  <si>
    <t>Числен-</t>
  </si>
  <si>
    <t>коэф-т</t>
  </si>
  <si>
    <t>Коэффи-</t>
  </si>
  <si>
    <t>циент</t>
  </si>
  <si>
    <t>ставка</t>
  </si>
  <si>
    <t>Месячный</t>
  </si>
  <si>
    <t>оклад</t>
  </si>
  <si>
    <t>Доплата</t>
  </si>
  <si>
    <t>Празд-</t>
  </si>
  <si>
    <t>ничные</t>
  </si>
  <si>
    <t>Класс-</t>
  </si>
  <si>
    <t>Ночные</t>
  </si>
  <si>
    <t>ФОТ</t>
  </si>
  <si>
    <t>Годовой</t>
  </si>
  <si>
    <t>10% бриг.</t>
  </si>
  <si>
    <t>Тарифн.</t>
  </si>
  <si>
    <t>1.УПРАВЛЕНИЕ</t>
  </si>
  <si>
    <t>Ставка рабочего 1 разряда</t>
  </si>
  <si>
    <t>ИТОГО</t>
  </si>
  <si>
    <t>Электросварщик руч.сварки</t>
  </si>
  <si>
    <t>Водитель водовоз.</t>
  </si>
  <si>
    <t>ВСЕГО</t>
  </si>
  <si>
    <t>Слесарь по ремонту оборуд.котельных</t>
  </si>
  <si>
    <t>Водитель водовоз.а\м</t>
  </si>
  <si>
    <t>Слесарь по ремонту обородования котельных</t>
  </si>
  <si>
    <t>Электромонтер по ремонту и обслуж.эл.оборуд.</t>
  </si>
  <si>
    <t xml:space="preserve">ВСЕГО  </t>
  </si>
  <si>
    <t xml:space="preserve">Премия </t>
  </si>
  <si>
    <t xml:space="preserve">Северная надбавка </t>
  </si>
  <si>
    <t xml:space="preserve">Районный коэффициент </t>
  </si>
  <si>
    <t>Унифицированная форма № Т-3</t>
  </si>
  <si>
    <t>Утверждена</t>
  </si>
  <si>
    <t>Постановлением</t>
  </si>
  <si>
    <t>Госкомстата России</t>
  </si>
  <si>
    <t>от 05.01.2004 № 1</t>
  </si>
  <si>
    <t>Форма по ОКУД</t>
  </si>
  <si>
    <t xml:space="preserve">           по ОКПО</t>
  </si>
  <si>
    <t>Код</t>
  </si>
  <si>
    <t>УТВЕРЖДЕНО</t>
  </si>
  <si>
    <t>Приказом предприятия</t>
  </si>
  <si>
    <t>Номер документа</t>
  </si>
  <si>
    <t>Дата составления</t>
  </si>
  <si>
    <t xml:space="preserve">                         </t>
  </si>
  <si>
    <t>ШТАТНОЕ    РАСПИСАНИЕ</t>
  </si>
  <si>
    <t>Водитель бензовоза</t>
  </si>
  <si>
    <t>Водитель топливозаправщика</t>
  </si>
  <si>
    <t>п</t>
  </si>
  <si>
    <t>3.УЧАСТОК ДОБЫЧИ И РЕАЛИЗАЦИИ ВОДЫ</t>
  </si>
  <si>
    <t>4.ПОДВОЗ ВОДЫ</t>
  </si>
  <si>
    <t>Экономист</t>
  </si>
  <si>
    <t>Директор</t>
  </si>
  <si>
    <t>Штатное расписание участка  с. Каменное</t>
  </si>
  <si>
    <t>2.ТЕПЛОХОЗЯЙСТВО с.Пальяново</t>
  </si>
  <si>
    <t>Гл.бухгалтер</t>
  </si>
  <si>
    <t>Специалист по кадрам</t>
  </si>
  <si>
    <t>Инженер ОТ и ТБ</t>
  </si>
  <si>
    <t>Документовед</t>
  </si>
  <si>
    <t>1.ТЕПЛОХОЗЯЙСТВО</t>
  </si>
  <si>
    <t>2.УЧАСТОК ДОБЫЧИ И РЕАЛИЗАЦИИ ВОДЫ</t>
  </si>
  <si>
    <t>3.ПОДВОЗ ВОДЫ</t>
  </si>
  <si>
    <t>4.ТРАНСПОРТ</t>
  </si>
  <si>
    <t>Уборщик служебных помещений</t>
  </si>
  <si>
    <t>Гл.инженер</t>
  </si>
  <si>
    <t>Юдинцева Т.Ю.</t>
  </si>
  <si>
    <t>ММП "МИСНЭ"</t>
  </si>
  <si>
    <t>Бухгалтер</t>
  </si>
  <si>
    <t>Энергетик</t>
  </si>
  <si>
    <t>Механик</t>
  </si>
  <si>
    <t>Газоэлектросварщик</t>
  </si>
  <si>
    <t>Управдом</t>
  </si>
  <si>
    <t>РК</t>
  </si>
  <si>
    <t>СН</t>
  </si>
  <si>
    <t>Премия</t>
  </si>
  <si>
    <t>Согласовано</t>
  </si>
  <si>
    <t>Глава сп.Каменное</t>
  </si>
  <si>
    <t>Шпирналь Ю.П.</t>
  </si>
  <si>
    <t>Утверждаю</t>
  </si>
  <si>
    <t>Директор ММП "МИСНЭ" МО сп.Каменное</t>
  </si>
  <si>
    <t>Машинист (оператор) насосн.уст.</t>
  </si>
  <si>
    <t>с 1 января 2019 г. на период 2019 года</t>
  </si>
  <si>
    <t>Штат в количестве  25,5  единиц</t>
  </si>
  <si>
    <t>от "10" января 2019 г. №____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</si>
</sst>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 Cyr"/>
      <charset val="204"/>
    </font>
    <font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10"/>
      <name val="Times New Roman Cyr"/>
      <family val="1"/>
      <charset val="204"/>
    </font>
    <font>
      <b/>
      <sz val="9"/>
      <name val="Times New Roman Cyr"/>
      <charset val="204"/>
    </font>
    <font>
      <sz val="9"/>
      <name val="Times New Roman Cyr"/>
      <charset val="204"/>
    </font>
    <font>
      <b/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9" fontId="1" fillId="0" borderId="4" xfId="0" applyNumberFormat="1" applyFont="1" applyBorder="1"/>
    <xf numFmtId="10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1" fillId="0" borderId="7" xfId="0" applyFont="1" applyBorder="1"/>
    <xf numFmtId="0" fontId="1" fillId="0" borderId="8" xfId="0" applyFont="1" applyBorder="1"/>
    <xf numFmtId="2" fontId="1" fillId="0" borderId="7" xfId="0" applyNumberFormat="1" applyFont="1" applyBorder="1"/>
    <xf numFmtId="2" fontId="1" fillId="0" borderId="8" xfId="0" applyNumberFormat="1" applyFont="1" applyBorder="1"/>
    <xf numFmtId="9" fontId="1" fillId="0" borderId="7" xfId="0" applyNumberFormat="1" applyFont="1" applyBorder="1"/>
    <xf numFmtId="2" fontId="2" fillId="0" borderId="8" xfId="0" applyNumberFormat="1" applyFont="1" applyBorder="1"/>
    <xf numFmtId="0" fontId="1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0" fontId="1" fillId="0" borderId="9" xfId="0" applyFont="1" applyBorder="1"/>
    <xf numFmtId="0" fontId="1" fillId="0" borderId="10" xfId="0" applyFont="1" applyBorder="1"/>
    <xf numFmtId="0" fontId="2" fillId="0" borderId="4" xfId="0" applyFont="1" applyBorder="1" applyAlignment="1">
      <alignment wrapText="1"/>
    </xf>
    <xf numFmtId="2" fontId="1" fillId="0" borderId="4" xfId="0" applyNumberFormat="1" applyFont="1" applyBorder="1"/>
    <xf numFmtId="2" fontId="1" fillId="0" borderId="5" xfId="0" applyNumberFormat="1" applyFont="1" applyBorder="1"/>
    <xf numFmtId="0" fontId="2" fillId="0" borderId="0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3" fillId="0" borderId="0" xfId="0" applyFont="1"/>
    <xf numFmtId="0" fontId="0" fillId="0" borderId="0" xfId="0" applyAlignment="1"/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2" fontId="2" fillId="0" borderId="0" xfId="0" applyNumberFormat="1" applyFont="1" applyBorder="1"/>
    <xf numFmtId="164" fontId="1" fillId="0" borderId="7" xfId="0" applyNumberFormat="1" applyFont="1" applyBorder="1"/>
    <xf numFmtId="0" fontId="7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/>
    <xf numFmtId="0" fontId="1" fillId="0" borderId="0" xfId="0" applyFont="1" applyBorder="1" applyAlignment="1">
      <alignment wrapText="1"/>
    </xf>
    <xf numFmtId="9" fontId="1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2" fillId="0" borderId="10" xfId="0" applyFont="1" applyBorder="1"/>
    <xf numFmtId="2" fontId="2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2" fontId="1" fillId="0" borderId="14" xfId="0" applyNumberFormat="1" applyFont="1" applyBorder="1"/>
    <xf numFmtId="2" fontId="1" fillId="0" borderId="15" xfId="0" applyNumberFormat="1" applyFont="1" applyBorder="1"/>
    <xf numFmtId="0" fontId="8" fillId="0" borderId="14" xfId="0" applyFont="1" applyBorder="1" applyAlignment="1">
      <alignment wrapText="1"/>
    </xf>
    <xf numFmtId="1" fontId="1" fillId="0" borderId="7" xfId="0" applyNumberFormat="1" applyFont="1" applyBorder="1"/>
    <xf numFmtId="0" fontId="1" fillId="0" borderId="18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2" fillId="0" borderId="8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8" fillId="0" borderId="14" xfId="0" applyNumberFormat="1" applyFont="1" applyBorder="1" applyAlignment="1">
      <alignment wrapText="1"/>
    </xf>
    <xf numFmtId="4" fontId="1" fillId="0" borderId="14" xfId="0" applyNumberFormat="1" applyFont="1" applyBorder="1"/>
    <xf numFmtId="4" fontId="1" fillId="0" borderId="7" xfId="0" applyNumberFormat="1" applyFont="1" applyBorder="1"/>
    <xf numFmtId="4" fontId="1" fillId="0" borderId="15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 applyAlignment="1">
      <alignment wrapText="1"/>
    </xf>
    <xf numFmtId="4" fontId="1" fillId="0" borderId="8" xfId="0" applyNumberFormat="1" applyFont="1" applyBorder="1"/>
    <xf numFmtId="4" fontId="2" fillId="0" borderId="7" xfId="0" applyNumberFormat="1" applyFont="1" applyBorder="1" applyAlignment="1">
      <alignment wrapText="1"/>
    </xf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left" wrapText="1"/>
    </xf>
    <xf numFmtId="4" fontId="1" fillId="0" borderId="0" xfId="0" applyNumberFormat="1" applyFont="1" applyBorder="1"/>
    <xf numFmtId="4" fontId="1" fillId="0" borderId="18" xfId="0" applyNumberFormat="1" applyFont="1" applyBorder="1"/>
    <xf numFmtId="4" fontId="1" fillId="0" borderId="9" xfId="0" applyNumberFormat="1" applyFont="1" applyBorder="1"/>
    <xf numFmtId="4" fontId="2" fillId="0" borderId="10" xfId="0" applyNumberFormat="1" applyFont="1" applyBorder="1"/>
    <xf numFmtId="4" fontId="1" fillId="0" borderId="10" xfId="0" applyNumberFormat="1" applyFont="1" applyBorder="1"/>
    <xf numFmtId="4" fontId="2" fillId="0" borderId="12" xfId="0" applyNumberFormat="1" applyFont="1" applyBorder="1"/>
    <xf numFmtId="3" fontId="1" fillId="0" borderId="13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/>
    <xf numFmtId="0" fontId="1" fillId="0" borderId="19" xfId="0" applyFont="1" applyBorder="1"/>
    <xf numFmtId="3" fontId="1" fillId="0" borderId="1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2" fillId="0" borderId="0" xfId="0" applyNumberFormat="1" applyFont="1"/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2" fillId="0" borderId="7" xfId="0" applyNumberFormat="1" applyFont="1" applyBorder="1" applyAlignment="1">
      <alignment horizontal="left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2" fillId="0" borderId="7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3"/>
  <sheetViews>
    <sheetView workbookViewId="0">
      <selection activeCell="I17" sqref="I17"/>
    </sheetView>
  </sheetViews>
  <sheetFormatPr defaultRowHeight="12.75"/>
  <cols>
    <col min="11" max="11" width="11.7109375" customWidth="1"/>
  </cols>
  <sheetData>
    <row r="1" spans="2:13">
      <c r="J1" s="31" t="s">
        <v>41</v>
      </c>
      <c r="K1" s="31"/>
      <c r="L1" s="31"/>
      <c r="M1" s="31"/>
    </row>
    <row r="2" spans="2:13">
      <c r="J2" s="31"/>
      <c r="K2" s="31"/>
      <c r="L2" s="31"/>
      <c r="M2" s="31"/>
    </row>
    <row r="3" spans="2:13">
      <c r="J3" s="31" t="s">
        <v>42</v>
      </c>
      <c r="K3" s="31"/>
      <c r="L3" s="31"/>
      <c r="M3" s="31"/>
    </row>
    <row r="4" spans="2:13">
      <c r="J4" s="31" t="s">
        <v>43</v>
      </c>
      <c r="K4" s="31"/>
      <c r="L4" s="31"/>
      <c r="M4" s="31"/>
    </row>
    <row r="5" spans="2:13">
      <c r="J5" s="31" t="s">
        <v>44</v>
      </c>
      <c r="K5" s="31"/>
      <c r="L5" s="31"/>
      <c r="M5" s="31"/>
    </row>
    <row r="6" spans="2:13">
      <c r="J6" s="31" t="s">
        <v>45</v>
      </c>
      <c r="K6" s="31"/>
      <c r="L6" s="31"/>
      <c r="M6" s="31"/>
    </row>
    <row r="9" spans="2:13">
      <c r="K9" s="30" t="s">
        <v>48</v>
      </c>
    </row>
    <row r="10" spans="2:13">
      <c r="B10" t="s">
        <v>75</v>
      </c>
      <c r="I10" t="s">
        <v>46</v>
      </c>
      <c r="K10" s="30">
        <v>301017</v>
      </c>
    </row>
    <row r="11" spans="2:13">
      <c r="I11" t="s">
        <v>47</v>
      </c>
      <c r="K11" s="30">
        <v>36265719</v>
      </c>
    </row>
    <row r="14" spans="2:13">
      <c r="I14" t="s">
        <v>49</v>
      </c>
    </row>
    <row r="15" spans="2:13">
      <c r="I15" t="s">
        <v>50</v>
      </c>
    </row>
    <row r="16" spans="2:13">
      <c r="I16" t="s">
        <v>92</v>
      </c>
    </row>
    <row r="18" spans="2:11">
      <c r="I18" t="s">
        <v>91</v>
      </c>
    </row>
    <row r="21" spans="2:11">
      <c r="H21" s="98" t="s">
        <v>51</v>
      </c>
      <c r="I21" s="99"/>
      <c r="J21" s="98" t="s">
        <v>52</v>
      </c>
      <c r="K21" s="99"/>
    </row>
    <row r="22" spans="2:11">
      <c r="B22" s="32" t="s">
        <v>53</v>
      </c>
      <c r="D22" s="34" t="s">
        <v>54</v>
      </c>
      <c r="E22" s="34"/>
      <c r="F22" s="34"/>
      <c r="H22" s="100"/>
      <c r="I22" s="100"/>
      <c r="J22" s="100"/>
      <c r="K22" s="100"/>
    </row>
    <row r="23" spans="2:11">
      <c r="C23" s="33"/>
      <c r="D23" t="s">
        <v>90</v>
      </c>
    </row>
  </sheetData>
  <mergeCells count="4">
    <mergeCell ref="H21:I21"/>
    <mergeCell ref="J21:K21"/>
    <mergeCell ref="H22:I22"/>
    <mergeCell ref="J22:K22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38"/>
  <sheetViews>
    <sheetView zoomScaleNormal="100" workbookViewId="0">
      <pane ySplit="4" topLeftCell="A50" activePane="bottomLeft" state="frozen"/>
      <selection pane="bottomLeft" activeCell="F67" sqref="F67"/>
    </sheetView>
  </sheetViews>
  <sheetFormatPr defaultRowHeight="12"/>
  <cols>
    <col min="1" max="1" width="6.42578125" style="1" customWidth="1"/>
    <col min="2" max="2" width="25.7109375" style="1" customWidth="1"/>
    <col min="3" max="3" width="7.7109375" style="1" customWidth="1"/>
    <col min="4" max="4" width="5.28515625" style="1" customWidth="1"/>
    <col min="5" max="5" width="7.7109375" style="1" customWidth="1"/>
    <col min="6" max="6" width="8.140625" style="1" customWidth="1"/>
    <col min="7" max="7" width="7.28515625" style="1" customWidth="1"/>
    <col min="8" max="8" width="9.7109375" style="1" customWidth="1"/>
    <col min="9" max="9" width="9.140625" style="1"/>
    <col min="10" max="11" width="7.7109375" style="1" customWidth="1"/>
    <col min="12" max="12" width="7.28515625" style="1" customWidth="1"/>
    <col min="13" max="13" width="7.7109375" style="1" customWidth="1"/>
    <col min="14" max="14" width="9.85546875" style="1" customWidth="1"/>
    <col min="15" max="15" width="11" style="1" customWidth="1"/>
    <col min="16" max="16" width="10.85546875" style="1" bestFit="1" customWidth="1"/>
    <col min="17" max="16384" width="9.140625" style="1"/>
  </cols>
  <sheetData>
    <row r="1" spans="1:15">
      <c r="C1" s="2" t="s">
        <v>28</v>
      </c>
      <c r="D1" s="2"/>
      <c r="E1" s="2"/>
      <c r="F1" s="2"/>
      <c r="G1" s="92">
        <v>9351</v>
      </c>
    </row>
    <row r="2" spans="1:15">
      <c r="A2" s="5" t="s">
        <v>9</v>
      </c>
      <c r="B2" s="5" t="s">
        <v>8</v>
      </c>
      <c r="C2" s="5" t="s">
        <v>11</v>
      </c>
      <c r="D2" s="5" t="s">
        <v>2</v>
      </c>
      <c r="E2" s="5" t="s">
        <v>57</v>
      </c>
      <c r="F2" s="5" t="s">
        <v>13</v>
      </c>
      <c r="G2" s="5" t="s">
        <v>26</v>
      </c>
      <c r="H2" s="5" t="s">
        <v>16</v>
      </c>
      <c r="I2" s="5" t="s">
        <v>18</v>
      </c>
      <c r="J2" s="5" t="s">
        <v>4</v>
      </c>
      <c r="K2" s="5" t="s">
        <v>19</v>
      </c>
      <c r="L2" s="5" t="s">
        <v>21</v>
      </c>
      <c r="M2" s="5" t="s">
        <v>22</v>
      </c>
      <c r="N2" s="5" t="s">
        <v>16</v>
      </c>
      <c r="O2" s="5" t="s">
        <v>24</v>
      </c>
    </row>
    <row r="3" spans="1:15">
      <c r="A3" s="6" t="s">
        <v>10</v>
      </c>
      <c r="B3" s="6"/>
      <c r="C3" s="6" t="s">
        <v>5</v>
      </c>
      <c r="D3" s="6" t="s">
        <v>3</v>
      </c>
      <c r="E3" s="6" t="s">
        <v>12</v>
      </c>
      <c r="F3" s="6" t="s">
        <v>14</v>
      </c>
      <c r="G3" s="6" t="s">
        <v>15</v>
      </c>
      <c r="H3" s="6" t="s">
        <v>17</v>
      </c>
      <c r="I3" s="6"/>
      <c r="J3" s="6" t="s">
        <v>5</v>
      </c>
      <c r="K3" s="6" t="s">
        <v>20</v>
      </c>
      <c r="L3" s="6" t="s">
        <v>5</v>
      </c>
      <c r="M3" s="6"/>
      <c r="N3" s="6" t="s">
        <v>23</v>
      </c>
      <c r="O3" s="6" t="s">
        <v>23</v>
      </c>
    </row>
    <row r="4" spans="1:15">
      <c r="A4" s="8"/>
      <c r="B4" s="9"/>
      <c r="C4" s="9"/>
      <c r="D4" s="9"/>
      <c r="E4" s="9"/>
      <c r="F4" s="9"/>
      <c r="G4" s="9"/>
      <c r="H4" s="9"/>
      <c r="I4" s="9" t="s">
        <v>25</v>
      </c>
      <c r="J4" s="10">
        <v>0.04</v>
      </c>
      <c r="K4" s="11">
        <v>0.03</v>
      </c>
      <c r="L4" s="9"/>
      <c r="M4" s="11">
        <v>0.13300000000000001</v>
      </c>
      <c r="N4" s="9"/>
      <c r="O4" s="12"/>
    </row>
    <row r="5" spans="1:15">
      <c r="A5" s="8"/>
      <c r="B5" s="26" t="s">
        <v>27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27"/>
      <c r="O5" s="28"/>
    </row>
    <row r="6" spans="1:15">
      <c r="A6" s="52">
        <v>21593</v>
      </c>
      <c r="B6" s="56" t="s">
        <v>61</v>
      </c>
      <c r="C6" s="53">
        <v>1</v>
      </c>
      <c r="D6" s="53">
        <v>14</v>
      </c>
      <c r="E6" s="54">
        <v>4.9993999999999996</v>
      </c>
      <c r="F6" s="53">
        <v>1.2</v>
      </c>
      <c r="G6" s="53"/>
      <c r="H6" s="69">
        <f>G$1*E6</f>
        <v>46749.3894</v>
      </c>
      <c r="I6" s="68"/>
      <c r="J6" s="68"/>
      <c r="K6" s="68"/>
      <c r="L6" s="68"/>
      <c r="M6" s="68"/>
      <c r="N6" s="68">
        <f>H6</f>
        <v>46749.3894</v>
      </c>
      <c r="O6" s="70">
        <f>N6*12*C6</f>
        <v>560992.67280000006</v>
      </c>
    </row>
    <row r="7" spans="1:15">
      <c r="A7" s="13">
        <v>27931</v>
      </c>
      <c r="B7" s="56" t="s">
        <v>73</v>
      </c>
      <c r="C7" s="53">
        <v>0.3</v>
      </c>
      <c r="D7" s="53">
        <v>12</v>
      </c>
      <c r="E7" s="53">
        <v>2.89</v>
      </c>
      <c r="F7" s="53">
        <v>1.2</v>
      </c>
      <c r="G7" s="53"/>
      <c r="H7" s="69">
        <f>G$1*E7*F7</f>
        <v>32429.267999999996</v>
      </c>
      <c r="I7" s="68"/>
      <c r="J7" s="68"/>
      <c r="K7" s="68"/>
      <c r="L7" s="68"/>
      <c r="M7" s="68"/>
      <c r="N7" s="68">
        <f>H7*C7</f>
        <v>9728.7803999999978</v>
      </c>
      <c r="O7" s="70">
        <f>N7*12</f>
        <v>116745.36479999998</v>
      </c>
    </row>
    <row r="8" spans="1:15">
      <c r="A8" s="52">
        <v>20656</v>
      </c>
      <c r="B8" s="56" t="s">
        <v>64</v>
      </c>
      <c r="C8" s="53">
        <v>1</v>
      </c>
      <c r="D8" s="15">
        <v>12</v>
      </c>
      <c r="E8" s="15">
        <v>2.89</v>
      </c>
      <c r="F8" s="15">
        <v>1.2</v>
      </c>
      <c r="G8" s="53"/>
      <c r="H8" s="69">
        <f t="shared" ref="H8:H15" si="0">G$1*E8*F8</f>
        <v>32429.267999999996</v>
      </c>
      <c r="I8" s="68"/>
      <c r="J8" s="68"/>
      <c r="K8" s="68"/>
      <c r="L8" s="68"/>
      <c r="M8" s="68"/>
      <c r="N8" s="68">
        <f t="shared" ref="N8:N17" si="1">H8*C8</f>
        <v>32429.267999999996</v>
      </c>
      <c r="O8" s="70">
        <f t="shared" ref="O8:O17" si="2">N8*12</f>
        <v>389151.21599999996</v>
      </c>
    </row>
    <row r="9" spans="1:15">
      <c r="A9" s="52"/>
      <c r="B9" s="56" t="s">
        <v>76</v>
      </c>
      <c r="C9" s="53">
        <v>0.5</v>
      </c>
      <c r="D9" s="53">
        <v>9</v>
      </c>
      <c r="E9" s="53">
        <v>2.2200000000000002</v>
      </c>
      <c r="F9" s="53">
        <v>1.2</v>
      </c>
      <c r="G9" s="53"/>
      <c r="H9" s="69">
        <f t="shared" si="0"/>
        <v>24911.064000000002</v>
      </c>
      <c r="I9" s="68"/>
      <c r="J9" s="68"/>
      <c r="K9" s="68"/>
      <c r="L9" s="68"/>
      <c r="M9" s="68"/>
      <c r="N9" s="68">
        <f t="shared" si="1"/>
        <v>12455.532000000001</v>
      </c>
      <c r="O9" s="70">
        <f t="shared" si="2"/>
        <v>149466.38400000002</v>
      </c>
    </row>
    <row r="10" spans="1:15">
      <c r="A10" s="13">
        <v>27728</v>
      </c>
      <c r="B10" s="56" t="s">
        <v>60</v>
      </c>
      <c r="C10" s="53">
        <v>0.5</v>
      </c>
      <c r="D10" s="53">
        <v>12</v>
      </c>
      <c r="E10" s="53">
        <v>2.89</v>
      </c>
      <c r="F10" s="53">
        <v>1.2</v>
      </c>
      <c r="G10" s="53"/>
      <c r="H10" s="69">
        <f>G$1*E10*F10</f>
        <v>32429.267999999996</v>
      </c>
      <c r="I10" s="68"/>
      <c r="J10" s="68"/>
      <c r="K10" s="68"/>
      <c r="L10" s="68"/>
      <c r="M10" s="68"/>
      <c r="N10" s="68">
        <f t="shared" si="1"/>
        <v>16214.633999999998</v>
      </c>
      <c r="O10" s="70">
        <f t="shared" si="2"/>
        <v>194575.60799999998</v>
      </c>
    </row>
    <row r="11" spans="1:15">
      <c r="A11" s="13">
        <v>26583</v>
      </c>
      <c r="B11" s="56" t="s">
        <v>65</v>
      </c>
      <c r="C11" s="53">
        <v>0.2</v>
      </c>
      <c r="D11" s="53">
        <v>6</v>
      </c>
      <c r="E11" s="53">
        <v>1.67</v>
      </c>
      <c r="F11" s="53">
        <v>1.2</v>
      </c>
      <c r="G11" s="53"/>
      <c r="H11" s="69">
        <f t="shared" si="0"/>
        <v>18739.403999999999</v>
      </c>
      <c r="I11" s="68"/>
      <c r="J11" s="68"/>
      <c r="K11" s="68"/>
      <c r="L11" s="68"/>
      <c r="M11" s="68"/>
      <c r="N11" s="68">
        <f t="shared" si="1"/>
        <v>3747.8807999999999</v>
      </c>
      <c r="O11" s="70">
        <f t="shared" si="2"/>
        <v>44974.569600000003</v>
      </c>
    </row>
    <row r="12" spans="1:15">
      <c r="A12" s="13">
        <v>22659</v>
      </c>
      <c r="B12" s="56" t="s">
        <v>66</v>
      </c>
      <c r="C12" s="53">
        <v>0.2</v>
      </c>
      <c r="D12" s="53">
        <v>9</v>
      </c>
      <c r="E12" s="53">
        <v>2.2200000000000002</v>
      </c>
      <c r="F12" s="53">
        <v>1.2</v>
      </c>
      <c r="G12" s="53"/>
      <c r="H12" s="69">
        <f t="shared" si="0"/>
        <v>24911.064000000002</v>
      </c>
      <c r="I12" s="68"/>
      <c r="J12" s="68"/>
      <c r="K12" s="68"/>
      <c r="L12" s="68"/>
      <c r="M12" s="68"/>
      <c r="N12" s="68">
        <f t="shared" si="1"/>
        <v>4982.2128000000012</v>
      </c>
      <c r="O12" s="70">
        <f t="shared" si="2"/>
        <v>59786.553600000014</v>
      </c>
    </row>
    <row r="13" spans="1:15">
      <c r="A13" s="13">
        <v>27931</v>
      </c>
      <c r="B13" s="56" t="s">
        <v>77</v>
      </c>
      <c r="C13" s="53">
        <v>0.3</v>
      </c>
      <c r="D13" s="53">
        <v>9</v>
      </c>
      <c r="E13" s="53">
        <v>2.2200000000000002</v>
      </c>
      <c r="F13" s="53">
        <v>1.2</v>
      </c>
      <c r="G13" s="53"/>
      <c r="H13" s="69">
        <f t="shared" si="0"/>
        <v>24911.064000000002</v>
      </c>
      <c r="I13" s="68"/>
      <c r="J13" s="68"/>
      <c r="K13" s="68"/>
      <c r="L13" s="68"/>
      <c r="M13" s="68"/>
      <c r="N13" s="68">
        <f t="shared" si="1"/>
        <v>7473.3191999999999</v>
      </c>
      <c r="O13" s="70">
        <f t="shared" si="2"/>
        <v>89679.830400000006</v>
      </c>
    </row>
    <row r="14" spans="1:15">
      <c r="A14" s="13"/>
      <c r="B14" s="56" t="s">
        <v>78</v>
      </c>
      <c r="C14" s="53">
        <v>0.1</v>
      </c>
      <c r="D14" s="53">
        <v>9</v>
      </c>
      <c r="E14" s="53">
        <v>2.2200000000000002</v>
      </c>
      <c r="F14" s="53">
        <v>1.2</v>
      </c>
      <c r="G14" s="53"/>
      <c r="H14" s="69">
        <f t="shared" si="0"/>
        <v>24911.064000000002</v>
      </c>
      <c r="I14" s="68"/>
      <c r="J14" s="68"/>
      <c r="K14" s="68"/>
      <c r="L14" s="68"/>
      <c r="M14" s="68"/>
      <c r="N14" s="68">
        <f t="shared" si="1"/>
        <v>2491.1064000000006</v>
      </c>
      <c r="O14" s="70">
        <f t="shared" si="2"/>
        <v>29893.276800000007</v>
      </c>
    </row>
    <row r="15" spans="1:15">
      <c r="A15" s="13">
        <v>21792</v>
      </c>
      <c r="B15" s="56" t="s">
        <v>67</v>
      </c>
      <c r="C15" s="53">
        <v>0.25</v>
      </c>
      <c r="D15" s="53">
        <v>3</v>
      </c>
      <c r="E15" s="15">
        <v>1.23</v>
      </c>
      <c r="F15" s="15">
        <v>1.2</v>
      </c>
      <c r="G15" s="53"/>
      <c r="H15" s="69">
        <f t="shared" si="0"/>
        <v>13802.075999999999</v>
      </c>
      <c r="I15" s="68"/>
      <c r="J15" s="68"/>
      <c r="K15" s="68"/>
      <c r="L15" s="68"/>
      <c r="M15" s="68"/>
      <c r="N15" s="68">
        <f t="shared" si="1"/>
        <v>3450.5189999999998</v>
      </c>
      <c r="O15" s="70">
        <f t="shared" si="2"/>
        <v>41406.227999999996</v>
      </c>
    </row>
    <row r="16" spans="1:15">
      <c r="A16" s="52"/>
      <c r="B16" s="56" t="s">
        <v>80</v>
      </c>
      <c r="C16" s="53">
        <v>0.5</v>
      </c>
      <c r="D16" s="53">
        <v>3</v>
      </c>
      <c r="E16" s="53">
        <v>1.23</v>
      </c>
      <c r="F16" s="53">
        <v>1.2</v>
      </c>
      <c r="G16" s="53"/>
      <c r="H16" s="69">
        <f>G1*E16*F16</f>
        <v>13802.075999999999</v>
      </c>
      <c r="I16" s="68"/>
      <c r="J16" s="68"/>
      <c r="K16" s="68"/>
      <c r="L16" s="68"/>
      <c r="M16" s="68"/>
      <c r="N16" s="68">
        <f t="shared" si="1"/>
        <v>6901.0379999999996</v>
      </c>
      <c r="O16" s="70">
        <f t="shared" si="2"/>
        <v>82812.455999999991</v>
      </c>
    </row>
    <row r="17" spans="1:17">
      <c r="A17" s="13">
        <v>19258</v>
      </c>
      <c r="B17" s="21" t="s">
        <v>72</v>
      </c>
      <c r="C17" s="15">
        <v>0.25</v>
      </c>
      <c r="D17" s="15">
        <v>1</v>
      </c>
      <c r="E17" s="15">
        <v>1</v>
      </c>
      <c r="F17" s="15">
        <v>1.2</v>
      </c>
      <c r="G17" s="15"/>
      <c r="H17" s="69">
        <f>G1*F17</f>
        <v>11221.199999999999</v>
      </c>
      <c r="I17" s="69"/>
      <c r="J17" s="69"/>
      <c r="K17" s="69"/>
      <c r="L17" s="69"/>
      <c r="M17" s="69"/>
      <c r="N17" s="68">
        <f t="shared" si="1"/>
        <v>2805.2999999999997</v>
      </c>
      <c r="O17" s="70">
        <f t="shared" si="2"/>
        <v>33663.599999999999</v>
      </c>
    </row>
    <row r="18" spans="1:17">
      <c r="A18" s="13"/>
      <c r="B18" s="21" t="s">
        <v>29</v>
      </c>
      <c r="C18" s="15">
        <f>SUM(C6:C17)</f>
        <v>5.0999999999999996</v>
      </c>
      <c r="D18" s="15"/>
      <c r="E18" s="15"/>
      <c r="F18" s="15"/>
      <c r="G18" s="15"/>
      <c r="H18" s="69"/>
      <c r="I18" s="69"/>
      <c r="J18" s="69"/>
      <c r="K18" s="69"/>
      <c r="L18" s="69"/>
      <c r="M18" s="69"/>
      <c r="N18" s="69"/>
      <c r="O18" s="73">
        <f>SUM(O6:O17)</f>
        <v>1793147.7600000002</v>
      </c>
    </row>
    <row r="19" spans="1:17">
      <c r="A19" s="13"/>
      <c r="B19" s="21" t="s">
        <v>38</v>
      </c>
      <c r="C19" s="19">
        <v>0.05</v>
      </c>
      <c r="D19" s="15"/>
      <c r="E19" s="15"/>
      <c r="F19" s="15"/>
      <c r="G19" s="15"/>
      <c r="H19" s="69"/>
      <c r="I19" s="69"/>
      <c r="J19" s="69"/>
      <c r="K19" s="69"/>
      <c r="L19" s="69"/>
      <c r="M19" s="69"/>
      <c r="N19" s="69"/>
      <c r="O19" s="73">
        <f>(O18-O6)*C19</f>
        <v>61607.754360000014</v>
      </c>
    </row>
    <row r="20" spans="1:17">
      <c r="A20" s="13"/>
      <c r="B20" s="21" t="s">
        <v>40</v>
      </c>
      <c r="C20" s="19">
        <v>0.7</v>
      </c>
      <c r="D20" s="15"/>
      <c r="E20" s="15"/>
      <c r="F20" s="15"/>
      <c r="G20" s="15"/>
      <c r="H20" s="69"/>
      <c r="I20" s="69"/>
      <c r="J20" s="69"/>
      <c r="K20" s="69"/>
      <c r="L20" s="69"/>
      <c r="M20" s="69"/>
      <c r="N20" s="69"/>
      <c r="O20" s="73">
        <f>(O18+O19)*C20</f>
        <v>1298328.860052</v>
      </c>
    </row>
    <row r="21" spans="1:17">
      <c r="A21" s="13"/>
      <c r="B21" s="21" t="s">
        <v>39</v>
      </c>
      <c r="C21" s="19">
        <v>0.5</v>
      </c>
      <c r="D21" s="15"/>
      <c r="E21" s="15"/>
      <c r="F21" s="15"/>
      <c r="G21" s="15"/>
      <c r="H21" s="69"/>
      <c r="I21" s="69"/>
      <c r="J21" s="69"/>
      <c r="K21" s="69"/>
      <c r="L21" s="69"/>
      <c r="M21" s="69"/>
      <c r="N21" s="69"/>
      <c r="O21" s="73">
        <f>(O18+O19)*C21</f>
        <v>927377.75718000007</v>
      </c>
    </row>
    <row r="22" spans="1:17">
      <c r="A22" s="13"/>
      <c r="B22" s="22" t="s">
        <v>29</v>
      </c>
      <c r="C22" s="14">
        <f>C18</f>
        <v>5.0999999999999996</v>
      </c>
      <c r="D22" s="15"/>
      <c r="E22" s="15"/>
      <c r="F22" s="15"/>
      <c r="G22" s="15"/>
      <c r="H22" s="69"/>
      <c r="I22" s="69"/>
      <c r="J22" s="69"/>
      <c r="K22" s="69"/>
      <c r="L22" s="69"/>
      <c r="M22" s="69"/>
      <c r="N22" s="69"/>
      <c r="O22" s="63">
        <f>SUM(O18:O21)</f>
        <v>4080462.1315920004</v>
      </c>
    </row>
    <row r="23" spans="1:17" ht="24">
      <c r="A23" s="13"/>
      <c r="B23" s="22" t="s">
        <v>63</v>
      </c>
      <c r="C23" s="15"/>
      <c r="D23" s="15"/>
      <c r="E23" s="15"/>
      <c r="F23" s="15"/>
      <c r="G23" s="15"/>
      <c r="H23" s="69"/>
      <c r="I23" s="69"/>
      <c r="J23" s="69"/>
      <c r="K23" s="69"/>
      <c r="L23" s="69"/>
      <c r="M23" s="69"/>
      <c r="N23" s="69"/>
      <c r="O23" s="73"/>
    </row>
    <row r="24" spans="1:17">
      <c r="A24" s="13">
        <v>23998</v>
      </c>
      <c r="B24" s="21" t="s">
        <v>6</v>
      </c>
      <c r="C24" s="15">
        <v>0.5</v>
      </c>
      <c r="D24" s="15">
        <v>10</v>
      </c>
      <c r="E24" s="15">
        <v>2.44</v>
      </c>
      <c r="F24" s="15">
        <v>1.2</v>
      </c>
      <c r="G24" s="15"/>
      <c r="H24" s="69">
        <f>G1*E24*F24</f>
        <v>27379.727999999999</v>
      </c>
      <c r="I24" s="69"/>
      <c r="J24" s="69"/>
      <c r="K24" s="69"/>
      <c r="L24" s="69"/>
      <c r="M24" s="69"/>
      <c r="N24" s="68">
        <f t="shared" ref="N24" si="3">H24*C24</f>
        <v>13689.864</v>
      </c>
      <c r="O24" s="70">
        <f t="shared" ref="O24" si="4">N24*12</f>
        <v>164278.36799999999</v>
      </c>
    </row>
    <row r="25" spans="1:17">
      <c r="A25" s="13">
        <v>15643</v>
      </c>
      <c r="B25" s="21" t="s">
        <v>1</v>
      </c>
      <c r="C25" s="15">
        <v>4</v>
      </c>
      <c r="D25" s="15">
        <v>4</v>
      </c>
      <c r="E25" s="15">
        <v>1.36</v>
      </c>
      <c r="F25" s="15">
        <v>1.2</v>
      </c>
      <c r="G25" s="15"/>
      <c r="H25" s="69">
        <f>E25*G1*F25</f>
        <v>15260.832</v>
      </c>
      <c r="I25" s="69"/>
      <c r="J25" s="69"/>
      <c r="K25" s="69">
        <f>H25*K4</f>
        <v>457.82495999999998</v>
      </c>
      <c r="L25" s="69"/>
      <c r="M25" s="69">
        <f>H25*0.133</f>
        <v>2029.6906560000002</v>
      </c>
      <c r="N25" s="69">
        <f>SUM(H25:M25)</f>
        <v>17748.347615999999</v>
      </c>
      <c r="O25" s="73">
        <f>N25*12*C25</f>
        <v>851920.68556799996</v>
      </c>
    </row>
    <row r="26" spans="1:17" ht="24">
      <c r="A26" s="13">
        <v>18531</v>
      </c>
      <c r="B26" s="21" t="s">
        <v>33</v>
      </c>
      <c r="C26" s="15">
        <v>2</v>
      </c>
      <c r="D26" s="15">
        <v>3</v>
      </c>
      <c r="E26" s="15">
        <v>1.23</v>
      </c>
      <c r="F26" s="15">
        <v>1.2</v>
      </c>
      <c r="G26" s="15"/>
      <c r="H26" s="69">
        <f>E26*G1*F26</f>
        <v>13802.075999999999</v>
      </c>
      <c r="I26" s="69"/>
      <c r="J26" s="69"/>
      <c r="K26" s="69"/>
      <c r="L26" s="69"/>
      <c r="M26" s="69"/>
      <c r="N26" s="69">
        <f>SUM(H26:M26)</f>
        <v>13802.075999999999</v>
      </c>
      <c r="O26" s="73">
        <f>N26*12*C26</f>
        <v>331249.82399999996</v>
      </c>
    </row>
    <row r="27" spans="1:17">
      <c r="A27" s="13">
        <v>19906</v>
      </c>
      <c r="B27" s="21" t="s">
        <v>0</v>
      </c>
      <c r="C27" s="15">
        <v>1</v>
      </c>
      <c r="D27" s="15">
        <v>5</v>
      </c>
      <c r="E27" s="15">
        <v>1.51</v>
      </c>
      <c r="F27" s="15">
        <v>1.2</v>
      </c>
      <c r="G27" s="15"/>
      <c r="H27" s="69">
        <f>E27*G1*F27</f>
        <v>16944.011999999999</v>
      </c>
      <c r="I27" s="69"/>
      <c r="J27" s="69"/>
      <c r="K27" s="69"/>
      <c r="L27" s="69"/>
      <c r="M27" s="69"/>
      <c r="N27" s="69">
        <f>SUM(H27:M27)</f>
        <v>16944.011999999999</v>
      </c>
      <c r="O27" s="73">
        <f>N27*12</f>
        <v>203328.14399999997</v>
      </c>
    </row>
    <row r="28" spans="1:17">
      <c r="A28" s="13">
        <v>19861</v>
      </c>
      <c r="B28" s="21" t="s">
        <v>79</v>
      </c>
      <c r="C28" s="15">
        <v>0.5</v>
      </c>
      <c r="D28" s="15">
        <v>7</v>
      </c>
      <c r="E28" s="15">
        <v>1.84</v>
      </c>
      <c r="F28" s="15">
        <v>1.2</v>
      </c>
      <c r="G28" s="15"/>
      <c r="H28" s="69">
        <f>E28*G$1*F28</f>
        <v>20647.007999999998</v>
      </c>
      <c r="I28" s="69"/>
      <c r="J28" s="69">
        <f>H28*J4</f>
        <v>825.88031999999998</v>
      </c>
      <c r="K28" s="69"/>
      <c r="L28" s="69"/>
      <c r="M28" s="69"/>
      <c r="N28" s="69">
        <f>SUM(H28:M28)*C28</f>
        <v>10736.444159999999</v>
      </c>
      <c r="O28" s="73">
        <f>N28*12</f>
        <v>128837.32991999999</v>
      </c>
    </row>
    <row r="29" spans="1:17">
      <c r="A29" s="13"/>
      <c r="B29" s="21"/>
      <c r="C29" s="15"/>
      <c r="D29" s="15">
        <v>6</v>
      </c>
      <c r="E29" s="15">
        <v>1.67</v>
      </c>
      <c r="F29" s="15">
        <v>1.2</v>
      </c>
      <c r="G29" s="15"/>
      <c r="H29" s="69">
        <f>E29*G$1*F29</f>
        <v>18739.403999999999</v>
      </c>
      <c r="I29" s="69"/>
      <c r="J29" s="69"/>
      <c r="K29" s="69"/>
      <c r="L29" s="69"/>
      <c r="M29" s="69"/>
      <c r="N29" s="69">
        <f>SUM(H29:M29)</f>
        <v>18739.403999999999</v>
      </c>
      <c r="O29" s="73">
        <f>N29*12</f>
        <v>224872.848</v>
      </c>
    </row>
    <row r="30" spans="1:17">
      <c r="A30" s="13"/>
      <c r="B30" s="21" t="s">
        <v>29</v>
      </c>
      <c r="C30" s="15">
        <f>SUM(C25:C29)</f>
        <v>7.5</v>
      </c>
      <c r="D30" s="15"/>
      <c r="E30" s="15"/>
      <c r="F30" s="15"/>
      <c r="G30" s="15"/>
      <c r="H30" s="69">
        <f>(H25*C25)+H26+H27+H28</f>
        <v>112436.424</v>
      </c>
      <c r="I30" s="69"/>
      <c r="J30" s="69"/>
      <c r="K30" s="69"/>
      <c r="L30" s="69"/>
      <c r="M30" s="69"/>
      <c r="N30" s="69"/>
      <c r="O30" s="73">
        <f>SUM(O25:O28)</f>
        <v>1515335.983488</v>
      </c>
      <c r="P30" s="7"/>
    </row>
    <row r="31" spans="1:17">
      <c r="A31" s="13"/>
      <c r="B31" s="21" t="s">
        <v>38</v>
      </c>
      <c r="C31" s="19">
        <v>0.05</v>
      </c>
      <c r="D31" s="15"/>
      <c r="E31" s="15"/>
      <c r="F31" s="15"/>
      <c r="G31" s="15"/>
      <c r="H31" s="69"/>
      <c r="I31" s="69"/>
      <c r="J31" s="69"/>
      <c r="K31" s="69"/>
      <c r="L31" s="69"/>
      <c r="M31" s="69"/>
      <c r="N31" s="69"/>
      <c r="O31" s="73">
        <f>O30*C31</f>
        <v>75766.799174400003</v>
      </c>
      <c r="P31" s="7"/>
    </row>
    <row r="32" spans="1:17">
      <c r="A32" s="13"/>
      <c r="B32" s="21" t="s">
        <v>40</v>
      </c>
      <c r="C32" s="19">
        <v>0.7</v>
      </c>
      <c r="D32" s="15"/>
      <c r="E32" s="15"/>
      <c r="F32" s="15"/>
      <c r="G32" s="15"/>
      <c r="H32" s="69"/>
      <c r="I32" s="69"/>
      <c r="J32" s="69"/>
      <c r="K32" s="69"/>
      <c r="L32" s="69"/>
      <c r="M32" s="69"/>
      <c r="N32" s="69"/>
      <c r="O32" s="73">
        <f>(O30+O31)*C32</f>
        <v>1113771.9478636798</v>
      </c>
      <c r="P32" s="7"/>
      <c r="Q32" s="7"/>
    </row>
    <row r="33" spans="1:17">
      <c r="A33" s="13"/>
      <c r="B33" s="21" t="s">
        <v>39</v>
      </c>
      <c r="C33" s="19">
        <v>0.5</v>
      </c>
      <c r="D33" s="15"/>
      <c r="E33" s="15"/>
      <c r="F33" s="15"/>
      <c r="G33" s="15"/>
      <c r="H33" s="69"/>
      <c r="I33" s="69"/>
      <c r="J33" s="69"/>
      <c r="K33" s="69"/>
      <c r="L33" s="69"/>
      <c r="M33" s="69"/>
      <c r="N33" s="69"/>
      <c r="O33" s="73">
        <f>(O30+O31)*C33</f>
        <v>795551.39133120002</v>
      </c>
      <c r="P33" s="7"/>
      <c r="Q33" s="7"/>
    </row>
    <row r="34" spans="1:17">
      <c r="A34" s="13"/>
      <c r="B34" s="22" t="s">
        <v>29</v>
      </c>
      <c r="C34" s="14">
        <f>C30</f>
        <v>7.5</v>
      </c>
      <c r="D34" s="15"/>
      <c r="E34" s="15"/>
      <c r="F34" s="15"/>
      <c r="G34" s="15"/>
      <c r="H34" s="69"/>
      <c r="I34" s="69"/>
      <c r="J34" s="69"/>
      <c r="K34" s="69"/>
      <c r="L34" s="69"/>
      <c r="M34" s="69"/>
      <c r="N34" s="69"/>
      <c r="O34" s="63">
        <f>O30+O31+O32+O33</f>
        <v>3500426.1218572799</v>
      </c>
    </row>
    <row r="35" spans="1:17">
      <c r="A35" s="13"/>
      <c r="B35" s="103" t="s">
        <v>58</v>
      </c>
      <c r="C35" s="103"/>
      <c r="D35" s="103"/>
      <c r="E35" s="103"/>
      <c r="F35" s="15"/>
      <c r="G35" s="15"/>
      <c r="H35" s="69"/>
      <c r="I35" s="69"/>
      <c r="J35" s="69"/>
      <c r="K35" s="69"/>
      <c r="L35" s="69"/>
      <c r="M35" s="69"/>
      <c r="N35" s="69"/>
      <c r="O35" s="73"/>
    </row>
    <row r="36" spans="1:17">
      <c r="A36" s="13">
        <v>18560</v>
      </c>
      <c r="B36" s="21" t="s">
        <v>0</v>
      </c>
      <c r="C36" s="15">
        <v>0.5</v>
      </c>
      <c r="D36" s="15">
        <v>3</v>
      </c>
      <c r="E36" s="15">
        <v>1.23</v>
      </c>
      <c r="F36" s="15">
        <v>1.2</v>
      </c>
      <c r="G36" s="15"/>
      <c r="H36" s="69">
        <f>E36*G1*F36</f>
        <v>13802.075999999999</v>
      </c>
      <c r="I36" s="69"/>
      <c r="J36" s="69"/>
      <c r="K36" s="69"/>
      <c r="L36" s="69"/>
      <c r="M36" s="69"/>
      <c r="N36" s="69">
        <f>SUM(H36:M36)*C36</f>
        <v>6901.0379999999996</v>
      </c>
      <c r="O36" s="73">
        <f>N36*12</f>
        <v>82812.455999999991</v>
      </c>
    </row>
    <row r="37" spans="1:17" ht="13.5" customHeight="1">
      <c r="A37" s="13">
        <v>18560</v>
      </c>
      <c r="B37" s="21" t="s">
        <v>89</v>
      </c>
      <c r="C37" s="15">
        <v>0.5</v>
      </c>
      <c r="D37" s="15">
        <v>4</v>
      </c>
      <c r="E37" s="15">
        <v>1.36</v>
      </c>
      <c r="F37" s="15">
        <v>1.2</v>
      </c>
      <c r="G37" s="15"/>
      <c r="H37" s="69">
        <f>E37*G1*F37</f>
        <v>15260.832</v>
      </c>
      <c r="I37" s="69"/>
      <c r="J37" s="69"/>
      <c r="K37" s="69"/>
      <c r="L37" s="69"/>
      <c r="M37" s="69"/>
      <c r="N37" s="69">
        <f>SUM(H37:M37)*C37</f>
        <v>7630.4160000000002</v>
      </c>
      <c r="O37" s="73">
        <f>N37*12</f>
        <v>91564.991999999998</v>
      </c>
    </row>
    <row r="38" spans="1:17">
      <c r="A38" s="13">
        <v>11471</v>
      </c>
      <c r="B38" s="21" t="s">
        <v>7</v>
      </c>
      <c r="C38" s="15">
        <v>0.3</v>
      </c>
      <c r="D38" s="15">
        <v>1</v>
      </c>
      <c r="E38" s="15">
        <v>1</v>
      </c>
      <c r="F38" s="15">
        <v>1.2</v>
      </c>
      <c r="G38" s="15"/>
      <c r="H38" s="69">
        <f>E38*G1*F38</f>
        <v>11221.199999999999</v>
      </c>
      <c r="I38" s="69"/>
      <c r="J38" s="69"/>
      <c r="K38" s="69">
        <f>H38*K4</f>
        <v>336.63599999999997</v>
      </c>
      <c r="L38" s="69"/>
      <c r="M38" s="69"/>
      <c r="N38" s="69">
        <f>SUM(H38:M38)*C38</f>
        <v>3467.3507999999997</v>
      </c>
      <c r="O38" s="73">
        <f>N38*12</f>
        <v>41608.209599999995</v>
      </c>
    </row>
    <row r="39" spans="1:17">
      <c r="A39" s="13"/>
      <c r="B39" s="21" t="s">
        <v>29</v>
      </c>
      <c r="C39" s="15">
        <f>SUM(C36:C38)</f>
        <v>1.3</v>
      </c>
      <c r="D39" s="15"/>
      <c r="E39" s="15"/>
      <c r="F39" s="15"/>
      <c r="G39" s="15"/>
      <c r="H39" s="69">
        <f>(H36*C36)+(H38*C38)</f>
        <v>10267.397999999999</v>
      </c>
      <c r="I39" s="69"/>
      <c r="J39" s="69"/>
      <c r="K39" s="69"/>
      <c r="L39" s="69"/>
      <c r="M39" s="69"/>
      <c r="N39" s="69"/>
      <c r="O39" s="73">
        <f>SUM(O36:O38)</f>
        <v>215985.65759999998</v>
      </c>
    </row>
    <row r="40" spans="1:17">
      <c r="A40" s="13"/>
      <c r="B40" s="21" t="s">
        <v>38</v>
      </c>
      <c r="C40" s="19">
        <v>0.05</v>
      </c>
      <c r="D40" s="15"/>
      <c r="E40" s="15"/>
      <c r="F40" s="15"/>
      <c r="G40" s="15"/>
      <c r="H40" s="69"/>
      <c r="I40" s="69"/>
      <c r="J40" s="69"/>
      <c r="K40" s="69"/>
      <c r="L40" s="69"/>
      <c r="M40" s="69"/>
      <c r="N40" s="69"/>
      <c r="O40" s="73">
        <f>O39*C40</f>
        <v>10799.282879999999</v>
      </c>
    </row>
    <row r="41" spans="1:17">
      <c r="A41" s="13"/>
      <c r="B41" s="21" t="s">
        <v>40</v>
      </c>
      <c r="C41" s="19">
        <v>0.7</v>
      </c>
      <c r="D41" s="15"/>
      <c r="E41" s="15"/>
      <c r="F41" s="15"/>
      <c r="G41" s="15"/>
      <c r="H41" s="69"/>
      <c r="I41" s="69"/>
      <c r="J41" s="69"/>
      <c r="K41" s="69"/>
      <c r="L41" s="69"/>
      <c r="M41" s="69"/>
      <c r="N41" s="69"/>
      <c r="O41" s="73">
        <f>(O39+O40)*C41</f>
        <v>158749.45833599998</v>
      </c>
    </row>
    <row r="42" spans="1:17">
      <c r="A42" s="13"/>
      <c r="B42" s="21" t="s">
        <v>39</v>
      </c>
      <c r="C42" s="19">
        <v>0.5</v>
      </c>
      <c r="D42" s="15"/>
      <c r="E42" s="15"/>
      <c r="F42" s="15"/>
      <c r="G42" s="15"/>
      <c r="H42" s="69"/>
      <c r="I42" s="69"/>
      <c r="J42" s="69"/>
      <c r="K42" s="69"/>
      <c r="L42" s="69"/>
      <c r="M42" s="69"/>
      <c r="N42" s="69"/>
      <c r="O42" s="73">
        <f>(O39+O40)*C42</f>
        <v>113392.47024</v>
      </c>
    </row>
    <row r="43" spans="1:17">
      <c r="A43" s="13"/>
      <c r="B43" s="22" t="s">
        <v>29</v>
      </c>
      <c r="C43" s="14">
        <f>C39</f>
        <v>1.3</v>
      </c>
      <c r="D43" s="15"/>
      <c r="E43" s="15"/>
      <c r="F43" s="15"/>
      <c r="G43" s="15"/>
      <c r="H43" s="69"/>
      <c r="I43" s="69"/>
      <c r="J43" s="69"/>
      <c r="K43" s="69"/>
      <c r="L43" s="69"/>
      <c r="M43" s="69"/>
      <c r="N43" s="69"/>
      <c r="O43" s="63">
        <f>SUM(O39:O42)</f>
        <v>498926.86905599997</v>
      </c>
    </row>
    <row r="44" spans="1:17">
      <c r="A44" s="13"/>
      <c r="B44" s="22" t="s">
        <v>59</v>
      </c>
      <c r="C44" s="15"/>
      <c r="D44" s="15"/>
      <c r="E44" s="15"/>
      <c r="F44" s="15"/>
      <c r="G44" s="15"/>
      <c r="H44" s="69"/>
      <c r="I44" s="69"/>
      <c r="J44" s="69"/>
      <c r="K44" s="69"/>
      <c r="L44" s="69"/>
      <c r="M44" s="69"/>
      <c r="N44" s="69"/>
      <c r="O44" s="73"/>
    </row>
    <row r="45" spans="1:17">
      <c r="A45" s="13">
        <v>11442</v>
      </c>
      <c r="B45" s="21" t="s">
        <v>34</v>
      </c>
      <c r="C45" s="15">
        <v>0.5</v>
      </c>
      <c r="D45" s="15">
        <v>5</v>
      </c>
      <c r="E45" s="15">
        <v>1.51</v>
      </c>
      <c r="F45" s="15">
        <v>1.2</v>
      </c>
      <c r="G45" s="15"/>
      <c r="H45" s="69">
        <f>G1*E45*F45</f>
        <v>16944.011999999999</v>
      </c>
      <c r="I45" s="69"/>
      <c r="J45" s="69"/>
      <c r="K45" s="69">
        <f>H45*K4</f>
        <v>508.32035999999994</v>
      </c>
      <c r="L45" s="69">
        <f>H45*0.1</f>
        <v>1694.4012</v>
      </c>
      <c r="M45" s="69"/>
      <c r="N45" s="69">
        <f>SUM(H45:M45)*0.5</f>
        <v>9573.3667800000003</v>
      </c>
      <c r="O45" s="73">
        <f>N45*12</f>
        <v>114880.40136</v>
      </c>
    </row>
    <row r="46" spans="1:17">
      <c r="A46" s="13"/>
      <c r="B46" s="21" t="s">
        <v>29</v>
      </c>
      <c r="C46" s="15">
        <f>SUM(C45)</f>
        <v>0.5</v>
      </c>
      <c r="D46" s="15"/>
      <c r="E46" s="15"/>
      <c r="F46" s="15"/>
      <c r="G46" s="15"/>
      <c r="H46" s="69">
        <f>H45*0.5</f>
        <v>8472.0059999999994</v>
      </c>
      <c r="I46" s="69"/>
      <c r="J46" s="69"/>
      <c r="K46" s="69"/>
      <c r="L46" s="69"/>
      <c r="M46" s="69"/>
      <c r="N46" s="69"/>
      <c r="O46" s="73">
        <f>SUM(O45)</f>
        <v>114880.40136</v>
      </c>
    </row>
    <row r="47" spans="1:17">
      <c r="A47" s="13"/>
      <c r="B47" s="21" t="s">
        <v>38</v>
      </c>
      <c r="C47" s="19">
        <v>0.05</v>
      </c>
      <c r="D47" s="15"/>
      <c r="E47" s="15"/>
      <c r="F47" s="15"/>
      <c r="G47" s="15"/>
      <c r="H47" s="69"/>
      <c r="I47" s="69"/>
      <c r="J47" s="69"/>
      <c r="K47" s="69"/>
      <c r="L47" s="69"/>
      <c r="M47" s="69"/>
      <c r="N47" s="69"/>
      <c r="O47" s="73">
        <f>O46*C47</f>
        <v>5744.0200680000007</v>
      </c>
    </row>
    <row r="48" spans="1:17">
      <c r="A48" s="13"/>
      <c r="B48" s="21" t="s">
        <v>40</v>
      </c>
      <c r="C48" s="19">
        <v>0.7</v>
      </c>
      <c r="D48" s="15"/>
      <c r="E48" s="15"/>
      <c r="F48" s="15"/>
      <c r="G48" s="15"/>
      <c r="H48" s="69"/>
      <c r="I48" s="69"/>
      <c r="J48" s="69"/>
      <c r="K48" s="69"/>
      <c r="L48" s="69"/>
      <c r="M48" s="69"/>
      <c r="N48" s="69"/>
      <c r="O48" s="73">
        <f>(O46+O47)*C48</f>
        <v>84437.094999599998</v>
      </c>
    </row>
    <row r="49" spans="1:15">
      <c r="A49" s="13"/>
      <c r="B49" s="21" t="s">
        <v>39</v>
      </c>
      <c r="C49" s="19">
        <v>0.5</v>
      </c>
      <c r="D49" s="15"/>
      <c r="E49" s="15"/>
      <c r="F49" s="15"/>
      <c r="G49" s="15"/>
      <c r="H49" s="69"/>
      <c r="I49" s="69"/>
      <c r="J49" s="69"/>
      <c r="K49" s="69"/>
      <c r="L49" s="69"/>
      <c r="M49" s="69"/>
      <c r="N49" s="69"/>
      <c r="O49" s="73">
        <f>(O46+O47)*C49</f>
        <v>60312.210714000001</v>
      </c>
    </row>
    <row r="50" spans="1:15">
      <c r="A50" s="13"/>
      <c r="B50" s="22" t="s">
        <v>29</v>
      </c>
      <c r="C50" s="14">
        <f>C46</f>
        <v>0.5</v>
      </c>
      <c r="D50" s="15"/>
      <c r="E50" s="15"/>
      <c r="F50" s="15"/>
      <c r="G50" s="15"/>
      <c r="H50" s="69"/>
      <c r="I50" s="69"/>
      <c r="J50" s="69"/>
      <c r="K50" s="69"/>
      <c r="L50" s="69"/>
      <c r="M50" s="69"/>
      <c r="N50" s="69"/>
      <c r="O50" s="63">
        <f>SUM(O46:O49)</f>
        <v>265373.72714159999</v>
      </c>
    </row>
    <row r="51" spans="1:15">
      <c r="A51" s="13">
        <v>11442</v>
      </c>
      <c r="B51" s="21" t="s">
        <v>55</v>
      </c>
      <c r="C51" s="15">
        <v>0.5</v>
      </c>
      <c r="D51" s="15">
        <v>1</v>
      </c>
      <c r="E51" s="15">
        <v>1.51</v>
      </c>
      <c r="F51" s="15">
        <v>1.2</v>
      </c>
      <c r="G51" s="15"/>
      <c r="H51" s="69">
        <f>G1*E51*F51</f>
        <v>16944.011999999999</v>
      </c>
      <c r="I51" s="69"/>
      <c r="J51" s="69">
        <f>H51*J4</f>
        <v>677.76047999999992</v>
      </c>
      <c r="K51" s="69"/>
      <c r="L51" s="69">
        <f>H51*10%</f>
        <v>1694.4012</v>
      </c>
      <c r="M51" s="69"/>
      <c r="N51" s="69">
        <f>SUM(H51:M51)*C51</f>
        <v>9658.0868399999999</v>
      </c>
      <c r="O51" s="73">
        <f>N51*12</f>
        <v>115897.04208</v>
      </c>
    </row>
    <row r="52" spans="1:15" ht="12.75" customHeight="1">
      <c r="A52" s="13"/>
      <c r="B52" s="21" t="s">
        <v>29</v>
      </c>
      <c r="C52" s="15">
        <f>SUM(C51:C51)</f>
        <v>0.5</v>
      </c>
      <c r="D52" s="15"/>
      <c r="E52" s="15"/>
      <c r="F52" s="15"/>
      <c r="G52" s="15"/>
      <c r="H52" s="69"/>
      <c r="I52" s="69"/>
      <c r="J52" s="69"/>
      <c r="K52" s="69"/>
      <c r="L52" s="69"/>
      <c r="M52" s="69"/>
      <c r="N52" s="69"/>
      <c r="O52" s="73">
        <f>SUM(O51:O51)</f>
        <v>115897.04208</v>
      </c>
    </row>
    <row r="53" spans="1:15">
      <c r="A53" s="13"/>
      <c r="B53" s="21" t="s">
        <v>38</v>
      </c>
      <c r="C53" s="19">
        <v>0.05</v>
      </c>
      <c r="D53" s="15"/>
      <c r="E53" s="15"/>
      <c r="F53" s="15"/>
      <c r="G53" s="15"/>
      <c r="H53" s="69"/>
      <c r="I53" s="69"/>
      <c r="J53" s="69"/>
      <c r="K53" s="69"/>
      <c r="L53" s="69"/>
      <c r="M53" s="69"/>
      <c r="N53" s="69"/>
      <c r="O53" s="73">
        <f>O52*C53</f>
        <v>5794.8521040000005</v>
      </c>
    </row>
    <row r="54" spans="1:15">
      <c r="A54" s="13"/>
      <c r="B54" s="21" t="s">
        <v>40</v>
      </c>
      <c r="C54" s="19">
        <v>0.7</v>
      </c>
      <c r="D54" s="15"/>
      <c r="E54" s="15"/>
      <c r="F54" s="15"/>
      <c r="G54" s="15"/>
      <c r="H54" s="69"/>
      <c r="I54" s="69"/>
      <c r="J54" s="69"/>
      <c r="K54" s="69"/>
      <c r="L54" s="69"/>
      <c r="M54" s="69"/>
      <c r="N54" s="69"/>
      <c r="O54" s="73">
        <f>(O52+O53)*C54</f>
        <v>85184.325928799997</v>
      </c>
    </row>
    <row r="55" spans="1:15">
      <c r="A55" s="13"/>
      <c r="B55" s="21" t="s">
        <v>39</v>
      </c>
      <c r="C55" s="19">
        <v>0.5</v>
      </c>
      <c r="D55" s="15"/>
      <c r="E55" s="15"/>
      <c r="F55" s="15"/>
      <c r="G55" s="15"/>
      <c r="H55" s="69"/>
      <c r="I55" s="69"/>
      <c r="J55" s="69"/>
      <c r="K55" s="69"/>
      <c r="L55" s="69"/>
      <c r="M55" s="69"/>
      <c r="N55" s="69"/>
      <c r="O55" s="73">
        <f>(O52+O53)*C55</f>
        <v>60845.947092000002</v>
      </c>
    </row>
    <row r="56" spans="1:15">
      <c r="A56" s="13"/>
      <c r="B56" s="22" t="s">
        <v>29</v>
      </c>
      <c r="C56" s="14">
        <f>C52</f>
        <v>0.5</v>
      </c>
      <c r="D56" s="15"/>
      <c r="E56" s="15"/>
      <c r="F56" s="15"/>
      <c r="G56" s="15"/>
      <c r="H56" s="69"/>
      <c r="I56" s="69"/>
      <c r="J56" s="69"/>
      <c r="K56" s="69"/>
      <c r="L56" s="69"/>
      <c r="M56" s="69"/>
      <c r="N56" s="69"/>
      <c r="O56" s="63">
        <f>SUM(O52:O55)</f>
        <v>267722.1672048</v>
      </c>
    </row>
    <row r="57" spans="1:15">
      <c r="A57" s="13"/>
      <c r="B57" s="23" t="s">
        <v>37</v>
      </c>
      <c r="C57" s="14">
        <f>C34+C43+C50+C56</f>
        <v>9.8000000000000007</v>
      </c>
      <c r="D57" s="15"/>
      <c r="E57" s="15"/>
      <c r="F57" s="15"/>
      <c r="G57" s="15"/>
      <c r="H57" s="69"/>
      <c r="I57" s="69"/>
      <c r="J57" s="69"/>
      <c r="K57" s="69"/>
      <c r="L57" s="69"/>
      <c r="M57" s="69"/>
      <c r="N57" s="69"/>
      <c r="O57" s="63">
        <f>O22+O34+O43+O50+O56</f>
        <v>8612911.0168516804</v>
      </c>
    </row>
    <row r="58" spans="1:15">
      <c r="A58" s="101" t="s">
        <v>62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3"/>
      <c r="M58" s="3"/>
      <c r="N58" s="3"/>
      <c r="O58" s="3"/>
    </row>
    <row r="59" spans="1:15">
      <c r="A59" s="13"/>
      <c r="B59" s="22" t="s">
        <v>68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7"/>
      <c r="O59" s="18"/>
    </row>
    <row r="60" spans="1:15">
      <c r="A60" s="13">
        <v>23998</v>
      </c>
      <c r="B60" s="21" t="s">
        <v>6</v>
      </c>
      <c r="C60" s="15">
        <v>0.5</v>
      </c>
      <c r="D60" s="15">
        <v>10</v>
      </c>
      <c r="E60" s="15">
        <v>2.44</v>
      </c>
      <c r="F60" s="15">
        <v>1.2</v>
      </c>
      <c r="G60" s="15"/>
      <c r="H60" s="69">
        <f>G1*E60*F60</f>
        <v>27379.727999999999</v>
      </c>
      <c r="I60" s="69"/>
      <c r="J60" s="69"/>
      <c r="K60" s="69"/>
      <c r="L60" s="69"/>
      <c r="M60" s="69"/>
      <c r="N60" s="68">
        <f t="shared" ref="N60" si="5">H60*C60</f>
        <v>13689.864</v>
      </c>
      <c r="O60" s="70">
        <f t="shared" ref="O60" si="6">N60*12</f>
        <v>164278.36799999999</v>
      </c>
    </row>
    <row r="61" spans="1:15">
      <c r="A61" s="13">
        <v>15643</v>
      </c>
      <c r="B61" s="21" t="s">
        <v>1</v>
      </c>
      <c r="C61" s="15">
        <v>4</v>
      </c>
      <c r="D61" s="15">
        <v>4</v>
      </c>
      <c r="E61" s="15">
        <v>1.36</v>
      </c>
      <c r="F61" s="15">
        <v>1.2</v>
      </c>
      <c r="G61" s="15"/>
      <c r="H61" s="69">
        <f>E61*G1*F61</f>
        <v>15260.832</v>
      </c>
      <c r="I61" s="69"/>
      <c r="J61" s="69"/>
      <c r="K61" s="69">
        <f>H61*K4</f>
        <v>457.82495999999998</v>
      </c>
      <c r="L61" s="69"/>
      <c r="M61" s="69">
        <f>H61*0.133</f>
        <v>2029.6906560000002</v>
      </c>
      <c r="N61" s="69">
        <f>SUM(H61:M61)</f>
        <v>17748.347615999999</v>
      </c>
      <c r="O61" s="73">
        <f>N61*12*C61</f>
        <v>851920.68556799996</v>
      </c>
    </row>
    <row r="62" spans="1:15" ht="24">
      <c r="A62" s="13">
        <v>18531</v>
      </c>
      <c r="B62" s="21" t="s">
        <v>35</v>
      </c>
      <c r="C62" s="15">
        <v>2</v>
      </c>
      <c r="D62" s="15">
        <v>3</v>
      </c>
      <c r="E62" s="15">
        <v>1.23</v>
      </c>
      <c r="F62" s="15">
        <v>1.2</v>
      </c>
      <c r="G62" s="15"/>
      <c r="H62" s="69">
        <f>E62*G1*F62</f>
        <v>13802.075999999999</v>
      </c>
      <c r="I62" s="69"/>
      <c r="J62" s="69"/>
      <c r="K62" s="69"/>
      <c r="L62" s="69"/>
      <c r="M62" s="69"/>
      <c r="N62" s="69">
        <f>SUM(H62:M62)</f>
        <v>13802.075999999999</v>
      </c>
      <c r="O62" s="73">
        <f>N62*C62*12</f>
        <v>331249.82399999996</v>
      </c>
    </row>
    <row r="63" spans="1:15">
      <c r="A63" s="13">
        <v>19906</v>
      </c>
      <c r="B63" s="21" t="s">
        <v>30</v>
      </c>
      <c r="C63" s="15">
        <v>1</v>
      </c>
      <c r="D63" s="15">
        <v>7</v>
      </c>
      <c r="E63" s="15">
        <v>1.84</v>
      </c>
      <c r="F63" s="15">
        <v>1.2</v>
      </c>
      <c r="G63" s="15"/>
      <c r="H63" s="69">
        <f>E63*G1*F63</f>
        <v>20647.007999999998</v>
      </c>
      <c r="I63" s="69"/>
      <c r="J63" s="69">
        <f>H63*J4</f>
        <v>825.88031999999998</v>
      </c>
      <c r="K63" s="69"/>
      <c r="L63" s="69"/>
      <c r="M63" s="69"/>
      <c r="N63" s="69">
        <f>SUM(H63:M63)</f>
        <v>21472.888319999998</v>
      </c>
      <c r="O63" s="73">
        <f>N63*12</f>
        <v>257674.65983999998</v>
      </c>
    </row>
    <row r="64" spans="1:15" ht="24">
      <c r="A64" s="13">
        <v>19861</v>
      </c>
      <c r="B64" s="21" t="s">
        <v>36</v>
      </c>
      <c r="C64" s="15">
        <v>1</v>
      </c>
      <c r="D64" s="15">
        <v>5</v>
      </c>
      <c r="E64" s="15">
        <v>1.51</v>
      </c>
      <c r="F64" s="15">
        <v>1.2</v>
      </c>
      <c r="G64" s="15"/>
      <c r="H64" s="69">
        <f>G1*E64*F64</f>
        <v>16944.011999999999</v>
      </c>
      <c r="I64" s="69"/>
      <c r="J64" s="69"/>
      <c r="K64" s="69"/>
      <c r="L64" s="69"/>
      <c r="M64" s="69"/>
      <c r="N64" s="69">
        <f>SUM(H64:M64)</f>
        <v>16944.011999999999</v>
      </c>
      <c r="O64" s="73">
        <f>N64*12</f>
        <v>203328.14399999997</v>
      </c>
    </row>
    <row r="65" spans="1:16">
      <c r="A65" s="13"/>
      <c r="B65" s="21" t="s">
        <v>29</v>
      </c>
      <c r="C65" s="15">
        <f>SUM(C60:C64)</f>
        <v>8.5</v>
      </c>
      <c r="D65" s="15"/>
      <c r="E65" s="15"/>
      <c r="F65" s="15"/>
      <c r="G65" s="15"/>
      <c r="H65" s="69"/>
      <c r="I65" s="69"/>
      <c r="J65" s="69"/>
      <c r="K65" s="69"/>
      <c r="L65" s="69"/>
      <c r="M65" s="69"/>
      <c r="N65" s="69"/>
      <c r="O65" s="73">
        <f>SUM(O60:O64)</f>
        <v>1808451.6814079997</v>
      </c>
      <c r="P65" s="7"/>
    </row>
    <row r="66" spans="1:16">
      <c r="A66" s="13"/>
      <c r="B66" s="21" t="s">
        <v>38</v>
      </c>
      <c r="C66" s="19">
        <v>0.05</v>
      </c>
      <c r="D66" s="15"/>
      <c r="E66" s="15"/>
      <c r="F66" s="15"/>
      <c r="G66" s="15"/>
      <c r="H66" s="69"/>
      <c r="I66" s="69"/>
      <c r="J66" s="69"/>
      <c r="K66" s="69"/>
      <c r="L66" s="69"/>
      <c r="M66" s="69"/>
      <c r="N66" s="69"/>
      <c r="O66" s="73">
        <f>O65*C66</f>
        <v>90422.584070399986</v>
      </c>
      <c r="P66" s="7"/>
    </row>
    <row r="67" spans="1:16">
      <c r="A67" s="13"/>
      <c r="B67" s="21" t="s">
        <v>40</v>
      </c>
      <c r="C67" s="19">
        <v>0.7</v>
      </c>
      <c r="D67" s="15"/>
      <c r="E67" s="15"/>
      <c r="F67" s="15"/>
      <c r="G67" s="15"/>
      <c r="H67" s="69"/>
      <c r="I67" s="69"/>
      <c r="J67" s="69"/>
      <c r="K67" s="69"/>
      <c r="L67" s="69"/>
      <c r="M67" s="69"/>
      <c r="N67" s="69"/>
      <c r="O67" s="73">
        <f>(O65+O66)*C67</f>
        <v>1329211.9858348796</v>
      </c>
      <c r="P67" s="7"/>
    </row>
    <row r="68" spans="1:16">
      <c r="A68" s="13"/>
      <c r="B68" s="21" t="s">
        <v>39</v>
      </c>
      <c r="C68" s="19">
        <v>0.5</v>
      </c>
      <c r="D68" s="15"/>
      <c r="E68" s="15"/>
      <c r="F68" s="15"/>
      <c r="G68" s="15"/>
      <c r="H68" s="69"/>
      <c r="I68" s="69"/>
      <c r="J68" s="69"/>
      <c r="K68" s="69"/>
      <c r="L68" s="69"/>
      <c r="M68" s="69"/>
      <c r="N68" s="69"/>
      <c r="O68" s="73">
        <f>(O65+O66)*C68</f>
        <v>949437.13273919979</v>
      </c>
      <c r="P68" s="7"/>
    </row>
    <row r="69" spans="1:16">
      <c r="A69" s="13"/>
      <c r="B69" s="22" t="s">
        <v>29</v>
      </c>
      <c r="C69" s="14">
        <f>C65</f>
        <v>8.5</v>
      </c>
      <c r="D69" s="15"/>
      <c r="E69" s="15"/>
      <c r="F69" s="15"/>
      <c r="G69" s="15"/>
      <c r="H69" s="69"/>
      <c r="I69" s="69"/>
      <c r="J69" s="69"/>
      <c r="K69" s="69"/>
      <c r="L69" s="69"/>
      <c r="M69" s="69"/>
      <c r="N69" s="69"/>
      <c r="O69" s="63">
        <f>O65+O66+O67+O68</f>
        <v>4177523.3840524792</v>
      </c>
      <c r="P69" s="7"/>
    </row>
    <row r="70" spans="1:16">
      <c r="A70" s="13"/>
      <c r="B70" s="103" t="s">
        <v>69</v>
      </c>
      <c r="C70" s="103"/>
      <c r="D70" s="103"/>
      <c r="E70" s="103"/>
      <c r="F70" s="15"/>
      <c r="G70" s="15"/>
      <c r="H70" s="69"/>
      <c r="I70" s="69"/>
      <c r="J70" s="69"/>
      <c r="K70" s="69"/>
      <c r="L70" s="69"/>
      <c r="M70" s="69"/>
      <c r="N70" s="69"/>
      <c r="O70" s="73"/>
    </row>
    <row r="71" spans="1:16">
      <c r="A71" s="13">
        <v>18560</v>
      </c>
      <c r="B71" s="21" t="s">
        <v>0</v>
      </c>
      <c r="C71" s="15">
        <v>0.5</v>
      </c>
      <c r="D71" s="15">
        <v>3</v>
      </c>
      <c r="E71" s="15">
        <v>1.23</v>
      </c>
      <c r="F71" s="15">
        <v>1.2</v>
      </c>
      <c r="G71" s="15"/>
      <c r="H71" s="69">
        <f>G1*E71*F71</f>
        <v>13802.075999999999</v>
      </c>
      <c r="I71" s="69"/>
      <c r="J71" s="69"/>
      <c r="K71" s="69"/>
      <c r="L71" s="69"/>
      <c r="M71" s="69"/>
      <c r="N71" s="69">
        <f>SUM(H71:M71)*C71</f>
        <v>6901.0379999999996</v>
      </c>
      <c r="O71" s="73">
        <f>N71*12</f>
        <v>82812.455999999991</v>
      </c>
    </row>
    <row r="72" spans="1:16" ht="13.5" customHeight="1">
      <c r="A72" s="13">
        <v>18560</v>
      </c>
      <c r="B72" s="21" t="s">
        <v>89</v>
      </c>
      <c r="C72" s="15">
        <v>0.5</v>
      </c>
      <c r="D72" s="15">
        <v>4</v>
      </c>
      <c r="E72" s="15">
        <v>1.36</v>
      </c>
      <c r="F72" s="15">
        <v>1.2</v>
      </c>
      <c r="G72" s="15"/>
      <c r="H72" s="69">
        <f>E72*G1*F72</f>
        <v>15260.832</v>
      </c>
      <c r="I72" s="69"/>
      <c r="J72" s="69"/>
      <c r="K72" s="69"/>
      <c r="L72" s="69"/>
      <c r="M72" s="69"/>
      <c r="N72" s="69">
        <f>SUM(H72:M72)*C72</f>
        <v>7630.4160000000002</v>
      </c>
      <c r="O72" s="73">
        <f>N72*12</f>
        <v>91564.991999999998</v>
      </c>
    </row>
    <row r="73" spans="1:16">
      <c r="A73" s="13">
        <v>11471</v>
      </c>
      <c r="B73" s="21" t="s">
        <v>7</v>
      </c>
      <c r="C73" s="15">
        <v>0.3</v>
      </c>
      <c r="D73" s="15">
        <v>1</v>
      </c>
      <c r="E73" s="15">
        <v>1</v>
      </c>
      <c r="F73" s="15">
        <v>1.2</v>
      </c>
      <c r="G73" s="15"/>
      <c r="H73" s="69">
        <f>G1*E73*F73</f>
        <v>11221.199999999999</v>
      </c>
      <c r="I73" s="69"/>
      <c r="J73" s="69"/>
      <c r="K73" s="69">
        <f>H73*K4</f>
        <v>336.63599999999997</v>
      </c>
      <c r="L73" s="69"/>
      <c r="M73" s="69"/>
      <c r="N73" s="69">
        <f>SUM(H73:M73)*0.3</f>
        <v>3467.3507999999997</v>
      </c>
      <c r="O73" s="73">
        <f>N73*12</f>
        <v>41608.209599999995</v>
      </c>
    </row>
    <row r="74" spans="1:16">
      <c r="A74" s="13"/>
      <c r="B74" s="21" t="s">
        <v>29</v>
      </c>
      <c r="C74" s="15">
        <f>SUM(C71:C73)</f>
        <v>1.3</v>
      </c>
      <c r="D74" s="15"/>
      <c r="E74" s="15"/>
      <c r="F74" s="15"/>
      <c r="G74" s="15"/>
      <c r="H74" s="69"/>
      <c r="I74" s="69"/>
      <c r="J74" s="69"/>
      <c r="K74" s="69"/>
      <c r="L74" s="69"/>
      <c r="M74" s="69"/>
      <c r="N74" s="69"/>
      <c r="O74" s="73">
        <f>SUM(O71:O73)</f>
        <v>215985.65759999998</v>
      </c>
    </row>
    <row r="75" spans="1:16">
      <c r="A75" s="13"/>
      <c r="B75" s="21" t="s">
        <v>38</v>
      </c>
      <c r="C75" s="19">
        <v>0.05</v>
      </c>
      <c r="D75" s="15"/>
      <c r="E75" s="15"/>
      <c r="F75" s="15"/>
      <c r="G75" s="15"/>
      <c r="H75" s="69"/>
      <c r="I75" s="69"/>
      <c r="J75" s="69"/>
      <c r="K75" s="69"/>
      <c r="L75" s="69"/>
      <c r="M75" s="69"/>
      <c r="N75" s="69"/>
      <c r="O75" s="73">
        <f>O74*C75</f>
        <v>10799.282879999999</v>
      </c>
    </row>
    <row r="76" spans="1:16">
      <c r="A76" s="13"/>
      <c r="B76" s="21" t="s">
        <v>40</v>
      </c>
      <c r="C76" s="19">
        <v>0.7</v>
      </c>
      <c r="D76" s="15"/>
      <c r="E76" s="15"/>
      <c r="F76" s="15"/>
      <c r="G76" s="15"/>
      <c r="H76" s="69"/>
      <c r="I76" s="69"/>
      <c r="J76" s="69"/>
      <c r="K76" s="69"/>
      <c r="L76" s="69"/>
      <c r="M76" s="69"/>
      <c r="N76" s="69"/>
      <c r="O76" s="73">
        <f>(O74+O75)*C76</f>
        <v>158749.45833599998</v>
      </c>
    </row>
    <row r="77" spans="1:16">
      <c r="A77" s="13"/>
      <c r="B77" s="21" t="s">
        <v>39</v>
      </c>
      <c r="C77" s="19">
        <v>0.5</v>
      </c>
      <c r="D77" s="15"/>
      <c r="E77" s="15"/>
      <c r="F77" s="15"/>
      <c r="G77" s="15"/>
      <c r="H77" s="69"/>
      <c r="I77" s="69"/>
      <c r="J77" s="69"/>
      <c r="K77" s="69"/>
      <c r="L77" s="69"/>
      <c r="M77" s="69"/>
      <c r="N77" s="69"/>
      <c r="O77" s="73">
        <f>(O74+O75)*C77</f>
        <v>113392.47024</v>
      </c>
    </row>
    <row r="78" spans="1:16">
      <c r="A78" s="13"/>
      <c r="B78" s="22" t="s">
        <v>29</v>
      </c>
      <c r="C78" s="14">
        <f>C74</f>
        <v>1.3</v>
      </c>
      <c r="D78" s="15"/>
      <c r="E78" s="15"/>
      <c r="F78" s="15"/>
      <c r="G78" s="15"/>
      <c r="H78" s="69"/>
      <c r="I78" s="69"/>
      <c r="J78" s="69"/>
      <c r="K78" s="69"/>
      <c r="L78" s="69"/>
      <c r="M78" s="69"/>
      <c r="N78" s="69"/>
      <c r="O78" s="63">
        <f>SUM(O74:O77)</f>
        <v>498926.86905599997</v>
      </c>
      <c r="P78" s="7"/>
    </row>
    <row r="79" spans="1:16">
      <c r="A79" s="13"/>
      <c r="B79" s="22" t="s">
        <v>70</v>
      </c>
      <c r="C79" s="14"/>
      <c r="D79" s="15"/>
      <c r="E79" s="15"/>
      <c r="F79" s="15"/>
      <c r="G79" s="15"/>
      <c r="H79" s="69"/>
      <c r="I79" s="69"/>
      <c r="J79" s="69"/>
      <c r="K79" s="69"/>
      <c r="L79" s="69"/>
      <c r="M79" s="69"/>
      <c r="N79" s="69"/>
      <c r="O79" s="63"/>
    </row>
    <row r="80" spans="1:16">
      <c r="A80" s="13">
        <v>11442</v>
      </c>
      <c r="B80" s="21" t="s">
        <v>31</v>
      </c>
      <c r="C80" s="15">
        <v>0.3</v>
      </c>
      <c r="D80" s="15">
        <v>5</v>
      </c>
      <c r="E80" s="15">
        <v>1.51</v>
      </c>
      <c r="F80" s="15">
        <v>1.2</v>
      </c>
      <c r="G80" s="15"/>
      <c r="H80" s="69">
        <f>G1*E80*F80</f>
        <v>16944.011999999999</v>
      </c>
      <c r="I80" s="69"/>
      <c r="J80" s="69"/>
      <c r="K80" s="69">
        <f>H80*K4</f>
        <v>508.32035999999994</v>
      </c>
      <c r="L80" s="69">
        <f>H80*0.1</f>
        <v>1694.4012</v>
      </c>
      <c r="M80" s="69"/>
      <c r="N80" s="69">
        <f>SUM(H80:M80)*C80</f>
        <v>5744.0200679999998</v>
      </c>
      <c r="O80" s="73">
        <f>N80*12</f>
        <v>68928.240816000005</v>
      </c>
    </row>
    <row r="81" spans="1:15">
      <c r="A81" s="13"/>
      <c r="B81" s="21" t="s">
        <v>38</v>
      </c>
      <c r="C81" s="19">
        <v>0.05</v>
      </c>
      <c r="D81" s="15"/>
      <c r="E81" s="15"/>
      <c r="F81" s="15"/>
      <c r="G81" s="15"/>
      <c r="H81" s="69"/>
      <c r="I81" s="69"/>
      <c r="J81" s="69"/>
      <c r="K81" s="69"/>
      <c r="L81" s="69"/>
      <c r="M81" s="69"/>
      <c r="N81" s="69"/>
      <c r="O81" s="73">
        <f>O80*C81</f>
        <v>3446.4120408000003</v>
      </c>
    </row>
    <row r="82" spans="1:15">
      <c r="A82" s="13"/>
      <c r="B82" s="21" t="s">
        <v>40</v>
      </c>
      <c r="C82" s="19">
        <v>0.7</v>
      </c>
      <c r="D82" s="15"/>
      <c r="E82" s="15"/>
      <c r="F82" s="15"/>
      <c r="G82" s="15"/>
      <c r="H82" s="69"/>
      <c r="I82" s="69"/>
      <c r="J82" s="69"/>
      <c r="K82" s="69"/>
      <c r="L82" s="69"/>
      <c r="M82" s="69"/>
      <c r="N82" s="69"/>
      <c r="O82" s="73">
        <f>(O80+O81)*C82</f>
        <v>50662.25699976</v>
      </c>
    </row>
    <row r="83" spans="1:15">
      <c r="A83" s="13"/>
      <c r="B83" s="21" t="s">
        <v>39</v>
      </c>
      <c r="C83" s="19">
        <v>0.5</v>
      </c>
      <c r="D83" s="15"/>
      <c r="E83" s="15"/>
      <c r="F83" s="15"/>
      <c r="G83" s="15"/>
      <c r="H83" s="69"/>
      <c r="I83" s="69"/>
      <c r="J83" s="69"/>
      <c r="K83" s="69"/>
      <c r="L83" s="69"/>
      <c r="M83" s="69"/>
      <c r="N83" s="69"/>
      <c r="O83" s="73">
        <f>(O80+O81)*C83</f>
        <v>36187.326428400003</v>
      </c>
    </row>
    <row r="84" spans="1:15">
      <c r="A84" s="13"/>
      <c r="B84" s="22" t="s">
        <v>29</v>
      </c>
      <c r="C84" s="14">
        <f>C80</f>
        <v>0.3</v>
      </c>
      <c r="D84" s="15"/>
      <c r="E84" s="15"/>
      <c r="F84" s="15"/>
      <c r="G84" s="15"/>
      <c r="H84" s="69"/>
      <c r="I84" s="69"/>
      <c r="J84" s="69"/>
      <c r="K84" s="69"/>
      <c r="L84" s="69"/>
      <c r="M84" s="69"/>
      <c r="N84" s="69"/>
      <c r="O84" s="63">
        <f>SUM(O80:O83)</f>
        <v>159224.23628496</v>
      </c>
    </row>
    <row r="85" spans="1:15">
      <c r="A85" s="13"/>
      <c r="B85" s="22" t="s">
        <v>71</v>
      </c>
      <c r="C85" s="15"/>
      <c r="D85" s="15"/>
      <c r="E85" s="15"/>
      <c r="F85" s="15"/>
      <c r="G85" s="15"/>
      <c r="H85" s="69"/>
      <c r="I85" s="69"/>
      <c r="J85" s="69"/>
      <c r="K85" s="69"/>
      <c r="L85" s="69"/>
      <c r="M85" s="69"/>
      <c r="N85" s="69"/>
      <c r="O85" s="73"/>
    </row>
    <row r="86" spans="1:15">
      <c r="A86" s="13">
        <v>11442</v>
      </c>
      <c r="B86" s="21" t="s">
        <v>56</v>
      </c>
      <c r="C86" s="15">
        <v>0.5</v>
      </c>
      <c r="D86" s="15">
        <v>5</v>
      </c>
      <c r="E86" s="15">
        <v>1.51</v>
      </c>
      <c r="F86" s="15">
        <v>1.2</v>
      </c>
      <c r="G86" s="15"/>
      <c r="H86" s="69">
        <f>G1*E86*F86</f>
        <v>16944.011999999999</v>
      </c>
      <c r="I86" s="69"/>
      <c r="J86" s="69">
        <f>H86*J4</f>
        <v>677.76047999999992</v>
      </c>
      <c r="K86" s="69"/>
      <c r="L86" s="69">
        <f>H86*10%</f>
        <v>1694.4012</v>
      </c>
      <c r="M86" s="69"/>
      <c r="N86" s="69">
        <f>SUM(H86:M86)*C86</f>
        <v>9658.0868399999999</v>
      </c>
      <c r="O86" s="73">
        <f>N86*12</f>
        <v>115897.04208</v>
      </c>
    </row>
    <row r="87" spans="1:15">
      <c r="A87" s="13"/>
      <c r="B87" s="21" t="s">
        <v>29</v>
      </c>
      <c r="C87" s="15">
        <f>SUM(C86:C86)</f>
        <v>0.5</v>
      </c>
      <c r="D87" s="15"/>
      <c r="E87" s="15"/>
      <c r="F87" s="15"/>
      <c r="G87" s="15"/>
      <c r="H87" s="69"/>
      <c r="I87" s="69"/>
      <c r="J87" s="69"/>
      <c r="K87" s="69"/>
      <c r="L87" s="69"/>
      <c r="M87" s="69"/>
      <c r="N87" s="69"/>
      <c r="O87" s="73">
        <f>SUM(O86:O86)</f>
        <v>115897.04208</v>
      </c>
    </row>
    <row r="88" spans="1:15">
      <c r="A88" s="13"/>
      <c r="B88" s="21" t="s">
        <v>38</v>
      </c>
      <c r="C88" s="19">
        <v>0.05</v>
      </c>
      <c r="D88" s="15"/>
      <c r="E88" s="15"/>
      <c r="F88" s="15"/>
      <c r="G88" s="15"/>
      <c r="H88" s="69"/>
      <c r="I88" s="69"/>
      <c r="J88" s="69"/>
      <c r="K88" s="69"/>
      <c r="L88" s="69"/>
      <c r="M88" s="69"/>
      <c r="N88" s="69"/>
      <c r="O88" s="73">
        <f>O87*C88</f>
        <v>5794.8521040000005</v>
      </c>
    </row>
    <row r="89" spans="1:15">
      <c r="A89" s="13"/>
      <c r="B89" s="21" t="s">
        <v>40</v>
      </c>
      <c r="C89" s="19">
        <v>0.7</v>
      </c>
      <c r="D89" s="15"/>
      <c r="E89" s="15"/>
      <c r="F89" s="15"/>
      <c r="G89" s="15"/>
      <c r="H89" s="69"/>
      <c r="I89" s="69"/>
      <c r="J89" s="69"/>
      <c r="K89" s="69"/>
      <c r="L89" s="69"/>
      <c r="M89" s="69"/>
      <c r="N89" s="69"/>
      <c r="O89" s="73">
        <f>(O87+O88)*C89</f>
        <v>85184.325928799997</v>
      </c>
    </row>
    <row r="90" spans="1:15">
      <c r="A90" s="13"/>
      <c r="B90" s="21" t="s">
        <v>39</v>
      </c>
      <c r="C90" s="19">
        <v>0.5</v>
      </c>
      <c r="D90" s="15"/>
      <c r="E90" s="15"/>
      <c r="F90" s="15"/>
      <c r="G90" s="15"/>
      <c r="H90" s="69"/>
      <c r="I90" s="69"/>
      <c r="J90" s="69"/>
      <c r="K90" s="69"/>
      <c r="L90" s="69"/>
      <c r="M90" s="69"/>
      <c r="N90" s="69"/>
      <c r="O90" s="73">
        <f>(O87+O88)*C90</f>
        <v>60845.947092000002</v>
      </c>
    </row>
    <row r="91" spans="1:15">
      <c r="A91" s="13"/>
      <c r="B91" s="22" t="s">
        <v>29</v>
      </c>
      <c r="C91" s="14">
        <f>C87</f>
        <v>0.5</v>
      </c>
      <c r="D91" s="15"/>
      <c r="E91" s="15"/>
      <c r="F91" s="15"/>
      <c r="G91" s="15"/>
      <c r="H91" s="69"/>
      <c r="I91" s="69"/>
      <c r="J91" s="69"/>
      <c r="K91" s="69"/>
      <c r="L91" s="69"/>
      <c r="M91" s="69"/>
      <c r="N91" s="69"/>
      <c r="O91" s="63">
        <f>O87+O88+O89+O90</f>
        <v>267722.1672048</v>
      </c>
    </row>
    <row r="92" spans="1:15">
      <c r="A92" s="13"/>
      <c r="B92" s="22" t="s">
        <v>32</v>
      </c>
      <c r="C92" s="14">
        <f>C91+C84+C78+C69</f>
        <v>10.6</v>
      </c>
      <c r="D92" s="14"/>
      <c r="E92" s="14"/>
      <c r="F92" s="14"/>
      <c r="G92" s="14"/>
      <c r="H92" s="75"/>
      <c r="I92" s="75"/>
      <c r="J92" s="75"/>
      <c r="K92" s="75"/>
      <c r="L92" s="75"/>
      <c r="M92" s="75"/>
      <c r="N92" s="75"/>
      <c r="O92" s="63">
        <f>O91+O84+O78+O69</f>
        <v>5103396.6565982392</v>
      </c>
    </row>
    <row r="93" spans="1:15">
      <c r="A93" s="13"/>
      <c r="B93" s="15"/>
      <c r="C93" s="15"/>
      <c r="D93" s="15"/>
      <c r="E93" s="15"/>
      <c r="F93" s="15"/>
      <c r="G93" s="15"/>
      <c r="H93" s="69"/>
      <c r="I93" s="69"/>
      <c r="J93" s="69"/>
      <c r="K93" s="69"/>
      <c r="L93" s="69"/>
      <c r="M93" s="69"/>
      <c r="N93" s="69"/>
      <c r="O93" s="73"/>
    </row>
    <row r="94" spans="1:15">
      <c r="A94" s="24"/>
      <c r="B94" s="50" t="s">
        <v>32</v>
      </c>
      <c r="C94" s="50">
        <f>C57+C92+C22</f>
        <v>25.5</v>
      </c>
      <c r="D94" s="25"/>
      <c r="E94" s="25"/>
      <c r="F94" s="25"/>
      <c r="G94" s="25"/>
      <c r="H94" s="81"/>
      <c r="I94" s="81"/>
      <c r="J94" s="81"/>
      <c r="K94" s="81"/>
      <c r="L94" s="81"/>
      <c r="M94" s="81"/>
      <c r="N94" s="81"/>
      <c r="O94" s="82">
        <f>+O57+O92</f>
        <v>13716307.673449919</v>
      </c>
    </row>
    <row r="96" spans="1:15" ht="12.75">
      <c r="B96" s="1" t="s">
        <v>61</v>
      </c>
      <c r="E96" s="35"/>
      <c r="F96" s="35"/>
      <c r="G96" s="35"/>
      <c r="H96" s="35" t="s">
        <v>74</v>
      </c>
      <c r="I96" s="35"/>
      <c r="J96" s="35"/>
      <c r="K96" s="35"/>
    </row>
    <row r="97" spans="1:16" ht="12.75">
      <c r="E97" s="35"/>
      <c r="F97" s="35"/>
      <c r="G97" s="35"/>
      <c r="H97" s="35"/>
      <c r="I97" s="35"/>
      <c r="J97" s="35"/>
      <c r="K97" s="35"/>
    </row>
    <row r="98" spans="1:16" ht="12.75">
      <c r="G98" s="35"/>
      <c r="H98" s="35"/>
      <c r="I98" s="35"/>
      <c r="J98" s="35"/>
      <c r="K98" s="35"/>
    </row>
    <row r="99" spans="1:16" ht="12.75">
      <c r="E99" s="35"/>
      <c r="F99" s="35"/>
      <c r="G99" s="35"/>
      <c r="H99" s="35"/>
      <c r="I99" s="35"/>
      <c r="J99" s="35"/>
      <c r="K99" s="35"/>
    </row>
    <row r="100" spans="1:16" ht="12.75">
      <c r="B100" s="38"/>
      <c r="E100" s="35"/>
      <c r="F100" s="35"/>
      <c r="G100" s="35"/>
      <c r="H100" s="35"/>
      <c r="I100" s="35"/>
      <c r="J100" s="35"/>
      <c r="K100" s="35"/>
    </row>
    <row r="101" spans="1:16" ht="12.75">
      <c r="E101" s="35"/>
      <c r="F101" s="35"/>
    </row>
    <row r="108" spans="1:1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4.25">
      <c r="A111" s="3"/>
      <c r="B111" s="41"/>
      <c r="C111" s="41"/>
      <c r="D111" s="41"/>
      <c r="E111" s="41"/>
      <c r="F111" s="41"/>
      <c r="G111" s="41"/>
      <c r="H111" s="41"/>
      <c r="I111" s="3"/>
      <c r="J111" s="3"/>
      <c r="K111" s="3"/>
      <c r="L111" s="3"/>
      <c r="M111" s="3"/>
      <c r="N111" s="3"/>
      <c r="O111" s="3"/>
      <c r="P111" s="3"/>
    </row>
    <row r="112" spans="1:1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>
      <c r="A114" s="3"/>
      <c r="B114" s="102"/>
      <c r="C114" s="102"/>
      <c r="D114" s="102"/>
      <c r="E114" s="102"/>
      <c r="F114" s="3"/>
      <c r="G114" s="3"/>
      <c r="H114" s="3"/>
      <c r="I114" s="3"/>
      <c r="J114" s="3"/>
      <c r="K114" s="3"/>
      <c r="L114" s="3"/>
      <c r="M114" s="3"/>
      <c r="N114" s="4"/>
      <c r="O114" s="4"/>
      <c r="P114" s="3"/>
    </row>
    <row r="115" spans="1:16">
      <c r="A115" s="42"/>
      <c r="B115" s="43"/>
      <c r="C115" s="44"/>
      <c r="D115" s="44"/>
      <c r="E115" s="44"/>
      <c r="F115" s="45"/>
      <c r="G115" s="42"/>
      <c r="H115" s="46"/>
      <c r="I115" s="42"/>
      <c r="J115" s="42"/>
      <c r="K115" s="42"/>
      <c r="L115" s="42"/>
      <c r="M115" s="42"/>
      <c r="N115" s="46"/>
      <c r="O115" s="46"/>
      <c r="P115" s="3"/>
    </row>
    <row r="116" spans="1:16">
      <c r="A116" s="42"/>
      <c r="B116" s="43"/>
      <c r="C116" s="44"/>
      <c r="D116" s="44"/>
      <c r="E116" s="44"/>
      <c r="F116" s="45"/>
      <c r="G116" s="42"/>
      <c r="H116" s="46"/>
      <c r="I116" s="42"/>
      <c r="J116" s="46"/>
      <c r="K116" s="42"/>
      <c r="L116" s="42"/>
      <c r="M116" s="42"/>
      <c r="N116" s="46"/>
      <c r="O116" s="46"/>
      <c r="P116" s="3"/>
    </row>
    <row r="117" spans="1:16">
      <c r="A117" s="42"/>
      <c r="B117" s="43"/>
      <c r="C117" s="44"/>
      <c r="D117" s="44"/>
      <c r="E117" s="44"/>
      <c r="F117" s="45"/>
      <c r="G117" s="42"/>
      <c r="H117" s="46"/>
      <c r="I117" s="42"/>
      <c r="J117" s="46"/>
      <c r="K117" s="42"/>
      <c r="L117" s="42"/>
      <c r="M117" s="42"/>
      <c r="N117" s="46"/>
      <c r="O117" s="46"/>
      <c r="P117" s="3"/>
    </row>
    <row r="118" spans="1:16">
      <c r="A118" s="42"/>
      <c r="B118" s="43"/>
      <c r="C118" s="44"/>
      <c r="D118" s="44"/>
      <c r="E118" s="44"/>
      <c r="F118" s="45"/>
      <c r="G118" s="42"/>
      <c r="H118" s="46"/>
      <c r="I118" s="42"/>
      <c r="J118" s="46"/>
      <c r="K118" s="42"/>
      <c r="L118" s="42"/>
      <c r="M118" s="42"/>
      <c r="N118" s="46"/>
      <c r="O118" s="46"/>
      <c r="P118" s="3"/>
    </row>
    <row r="119" spans="1:16">
      <c r="A119" s="42"/>
      <c r="B119" s="43"/>
      <c r="C119" s="44"/>
      <c r="D119" s="44"/>
      <c r="E119" s="44"/>
      <c r="F119" s="45"/>
      <c r="G119" s="42"/>
      <c r="H119" s="46"/>
      <c r="I119" s="42"/>
      <c r="J119" s="46"/>
      <c r="K119" s="46"/>
      <c r="L119" s="42"/>
      <c r="M119" s="46"/>
      <c r="N119" s="46"/>
      <c r="O119" s="46"/>
      <c r="P119" s="3"/>
    </row>
    <row r="120" spans="1:16">
      <c r="A120" s="42"/>
      <c r="B120" s="43"/>
      <c r="C120" s="44"/>
      <c r="D120" s="44"/>
      <c r="E120" s="44"/>
      <c r="F120" s="45"/>
      <c r="G120" s="42"/>
      <c r="H120" s="46"/>
      <c r="I120" s="42"/>
      <c r="J120" s="46"/>
      <c r="K120" s="46"/>
      <c r="L120" s="42"/>
      <c r="M120" s="46"/>
      <c r="N120" s="46"/>
      <c r="O120" s="46"/>
      <c r="P120" s="3"/>
    </row>
    <row r="121" spans="1:16">
      <c r="A121" s="3"/>
      <c r="B121" s="47"/>
      <c r="C121" s="40"/>
      <c r="D121" s="40"/>
      <c r="E121" s="40"/>
      <c r="F121" s="40"/>
      <c r="G121" s="3"/>
      <c r="H121" s="4"/>
      <c r="I121" s="3"/>
      <c r="J121" s="3"/>
      <c r="K121" s="3"/>
      <c r="L121" s="3"/>
      <c r="M121" s="3"/>
      <c r="N121" s="4"/>
      <c r="O121" s="4"/>
      <c r="P121" s="3"/>
    </row>
    <row r="122" spans="1:16">
      <c r="A122" s="3"/>
      <c r="B122" s="47"/>
      <c r="C122" s="48"/>
      <c r="D122" s="40"/>
      <c r="E122" s="40"/>
      <c r="F122" s="40"/>
      <c r="G122" s="3"/>
      <c r="H122" s="3"/>
      <c r="I122" s="3"/>
      <c r="J122" s="3"/>
      <c r="K122" s="3"/>
      <c r="L122" s="3"/>
      <c r="M122" s="3"/>
      <c r="N122" s="4"/>
      <c r="O122" s="4"/>
      <c r="P122" s="3"/>
    </row>
    <row r="123" spans="1:16">
      <c r="A123" s="3"/>
      <c r="B123" s="47"/>
      <c r="C123" s="48"/>
      <c r="D123" s="40"/>
      <c r="E123" s="40"/>
      <c r="F123" s="40"/>
      <c r="G123" s="3"/>
      <c r="H123" s="3"/>
      <c r="I123" s="3"/>
      <c r="J123" s="3"/>
      <c r="K123" s="3"/>
      <c r="L123" s="3"/>
      <c r="M123" s="3"/>
      <c r="N123" s="4"/>
      <c r="O123" s="4"/>
      <c r="P123" s="3"/>
    </row>
    <row r="124" spans="1:16">
      <c r="A124" s="3"/>
      <c r="B124" s="47"/>
      <c r="C124" s="48"/>
      <c r="D124" s="40"/>
      <c r="E124" s="40"/>
      <c r="F124" s="40"/>
      <c r="G124" s="3"/>
      <c r="H124" s="3"/>
      <c r="I124" s="3"/>
      <c r="J124" s="3"/>
      <c r="K124" s="3"/>
      <c r="L124" s="3"/>
      <c r="M124" s="3"/>
      <c r="N124" s="4"/>
      <c r="O124" s="4"/>
      <c r="P124" s="3"/>
    </row>
    <row r="125" spans="1:16">
      <c r="A125" s="3"/>
      <c r="B125" s="47"/>
      <c r="C125" s="48"/>
      <c r="D125" s="40"/>
      <c r="E125" s="40"/>
      <c r="F125" s="40"/>
      <c r="G125" s="3"/>
      <c r="H125" s="3"/>
      <c r="I125" s="3"/>
      <c r="J125" s="3"/>
      <c r="K125" s="3"/>
      <c r="L125" s="3"/>
      <c r="M125" s="3"/>
      <c r="N125" s="4"/>
      <c r="O125" s="4"/>
      <c r="P125" s="3"/>
    </row>
    <row r="126" spans="1:16">
      <c r="A126" s="3"/>
      <c r="B126" s="47"/>
      <c r="C126" s="48"/>
      <c r="D126" s="40"/>
      <c r="E126" s="40"/>
      <c r="F126" s="40"/>
      <c r="G126" s="3"/>
      <c r="H126" s="3"/>
      <c r="I126" s="3"/>
      <c r="J126" s="3"/>
      <c r="K126" s="3"/>
      <c r="L126" s="3"/>
      <c r="M126" s="3"/>
      <c r="N126" s="4"/>
      <c r="O126" s="4"/>
      <c r="P126" s="3"/>
    </row>
    <row r="127" spans="1:16">
      <c r="A127" s="3"/>
      <c r="B127" s="29"/>
      <c r="C127" s="39"/>
      <c r="D127" s="40"/>
      <c r="E127" s="40"/>
      <c r="F127" s="40"/>
      <c r="G127" s="3"/>
      <c r="H127" s="3"/>
      <c r="I127" s="3"/>
      <c r="J127" s="3"/>
      <c r="K127" s="3"/>
      <c r="L127" s="3"/>
      <c r="M127" s="3"/>
      <c r="N127" s="4"/>
      <c r="O127" s="36"/>
      <c r="P127" s="3"/>
    </row>
    <row r="128" spans="1:16">
      <c r="A128" s="3"/>
      <c r="B128" s="47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4"/>
      <c r="O128" s="4"/>
      <c r="P128" s="3"/>
    </row>
    <row r="129" spans="1:1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2.75">
      <c r="A133" s="3"/>
      <c r="B133" s="3"/>
      <c r="C133" s="3"/>
      <c r="D133" s="3"/>
      <c r="E133" s="49"/>
      <c r="F133" s="49"/>
      <c r="G133" s="49"/>
      <c r="H133" s="49"/>
      <c r="I133" s="49"/>
      <c r="J133" s="49"/>
      <c r="K133" s="49"/>
      <c r="L133" s="3"/>
      <c r="M133" s="3"/>
      <c r="N133" s="3"/>
      <c r="O133" s="3"/>
      <c r="P133" s="3"/>
    </row>
    <row r="134" spans="1:16" ht="12.75">
      <c r="A134" s="3"/>
      <c r="B134" s="3"/>
      <c r="C134" s="3"/>
      <c r="D134" s="3"/>
      <c r="E134" s="49"/>
      <c r="F134" s="49"/>
      <c r="G134" s="49"/>
      <c r="H134" s="49"/>
      <c r="I134" s="49"/>
      <c r="J134" s="49"/>
      <c r="K134" s="49"/>
      <c r="L134" s="3"/>
      <c r="M134" s="3"/>
      <c r="N134" s="3"/>
      <c r="O134" s="3"/>
      <c r="P134" s="3"/>
    </row>
    <row r="135" spans="1:16" ht="12.75">
      <c r="A135" s="3"/>
      <c r="B135" s="3"/>
      <c r="C135" s="3"/>
      <c r="D135" s="3"/>
      <c r="E135" s="49"/>
      <c r="F135" s="49"/>
      <c r="G135" s="49"/>
      <c r="H135" s="49"/>
      <c r="I135" s="49"/>
      <c r="J135" s="49"/>
      <c r="K135" s="49"/>
      <c r="L135" s="3"/>
      <c r="M135" s="3"/>
      <c r="N135" s="3"/>
      <c r="O135" s="3"/>
      <c r="P135" s="3"/>
    </row>
    <row r="136" spans="1:16" ht="12.75">
      <c r="A136" s="3"/>
      <c r="B136" s="3"/>
      <c r="C136" s="3"/>
      <c r="D136" s="3"/>
      <c r="E136" s="49"/>
      <c r="F136" s="49"/>
      <c r="G136" s="49"/>
      <c r="H136" s="49"/>
      <c r="I136" s="49"/>
      <c r="J136" s="49"/>
      <c r="K136" s="49"/>
      <c r="L136" s="3"/>
      <c r="M136" s="3"/>
      <c r="N136" s="3"/>
      <c r="O136" s="3"/>
      <c r="P136" s="3"/>
    </row>
    <row r="137" spans="1:16" ht="12.75">
      <c r="A137" s="3"/>
      <c r="B137" s="3"/>
      <c r="C137" s="3"/>
      <c r="D137" s="3"/>
      <c r="E137" s="49"/>
      <c r="F137" s="49"/>
      <c r="G137" s="49"/>
      <c r="H137" s="49"/>
      <c r="I137" s="49"/>
      <c r="J137" s="49"/>
      <c r="K137" s="49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</sheetData>
  <mergeCells count="4">
    <mergeCell ref="A58:K58"/>
    <mergeCell ref="B114:E114"/>
    <mergeCell ref="B70:E70"/>
    <mergeCell ref="B35:E35"/>
  </mergeCells>
  <phoneticPr fontId="5" type="noConversion"/>
  <pageMargins left="0.59055118110236227" right="0.39370078740157483" top="0.78740157480314965" bottom="0.59055118110236227" header="0.19685039370078741" footer="0.19685039370078741"/>
  <pageSetup paperSize="9" orientation="landscape" r:id="rId1"/>
  <headerFooter alignWithMargins="0"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134"/>
  <sheetViews>
    <sheetView zoomScaleNormal="100" workbookViewId="0">
      <pane ySplit="4" topLeftCell="A5" activePane="bottomLeft" state="frozen"/>
      <selection pane="bottomLeft" activeCell="D17" sqref="D17"/>
    </sheetView>
  </sheetViews>
  <sheetFormatPr defaultRowHeight="12"/>
  <cols>
    <col min="1" max="1" width="6.42578125" style="1" customWidth="1"/>
    <col min="2" max="2" width="25.7109375" style="1" customWidth="1"/>
    <col min="3" max="3" width="7.7109375" style="1" customWidth="1"/>
    <col min="4" max="4" width="5.28515625" style="1" customWidth="1"/>
    <col min="5" max="5" width="7.7109375" style="1" customWidth="1"/>
    <col min="6" max="6" width="8.140625" style="1" customWidth="1"/>
    <col min="7" max="7" width="7.28515625" style="1" hidden="1" customWidth="1"/>
    <col min="8" max="8" width="9.7109375" style="1" customWidth="1"/>
    <col min="9" max="9" width="0" style="1" hidden="1" customWidth="1"/>
    <col min="10" max="11" width="7.7109375" style="1" customWidth="1"/>
    <col min="12" max="12" width="6.42578125" style="1" customWidth="1"/>
    <col min="13" max="16" width="7.7109375" style="1" customWidth="1"/>
    <col min="17" max="17" width="9.85546875" style="1" customWidth="1"/>
    <col min="18" max="18" width="11" style="1" customWidth="1"/>
    <col min="19" max="19" width="10.85546875" style="1" bestFit="1" customWidth="1"/>
    <col min="20" max="16384" width="9.140625" style="1"/>
  </cols>
  <sheetData>
    <row r="1" spans="1:18">
      <c r="C1" s="2" t="s">
        <v>28</v>
      </c>
      <c r="D1" s="2"/>
      <c r="E1" s="2"/>
      <c r="F1" s="2"/>
      <c r="G1" s="2">
        <v>3702</v>
      </c>
      <c r="H1" s="2">
        <v>3702</v>
      </c>
    </row>
    <row r="2" spans="1:18">
      <c r="A2" s="5" t="s">
        <v>9</v>
      </c>
      <c r="B2" s="5" t="s">
        <v>8</v>
      </c>
      <c r="C2" s="5" t="s">
        <v>11</v>
      </c>
      <c r="D2" s="5" t="s">
        <v>2</v>
      </c>
      <c r="E2" s="5" t="s">
        <v>57</v>
      </c>
      <c r="F2" s="5" t="s">
        <v>13</v>
      </c>
      <c r="G2" s="5" t="s">
        <v>26</v>
      </c>
      <c r="H2" s="5" t="s">
        <v>16</v>
      </c>
      <c r="I2" s="5" t="s">
        <v>18</v>
      </c>
      <c r="J2" s="5" t="s">
        <v>4</v>
      </c>
      <c r="K2" s="5" t="s">
        <v>19</v>
      </c>
      <c r="L2" s="5" t="s">
        <v>21</v>
      </c>
      <c r="M2" s="5" t="s">
        <v>22</v>
      </c>
      <c r="N2" s="104" t="s">
        <v>83</v>
      </c>
      <c r="O2" s="104" t="s">
        <v>81</v>
      </c>
      <c r="P2" s="104" t="s">
        <v>82</v>
      </c>
      <c r="Q2" s="5" t="s">
        <v>16</v>
      </c>
      <c r="R2" s="5" t="s">
        <v>24</v>
      </c>
    </row>
    <row r="3" spans="1:18">
      <c r="A3" s="6" t="s">
        <v>10</v>
      </c>
      <c r="B3" s="6"/>
      <c r="C3" s="6" t="s">
        <v>5</v>
      </c>
      <c r="D3" s="6" t="s">
        <v>3</v>
      </c>
      <c r="E3" s="6" t="s">
        <v>12</v>
      </c>
      <c r="F3" s="6" t="s">
        <v>14</v>
      </c>
      <c r="G3" s="6" t="s">
        <v>15</v>
      </c>
      <c r="H3" s="6" t="s">
        <v>17</v>
      </c>
      <c r="I3" s="6"/>
      <c r="J3" s="6" t="s">
        <v>5</v>
      </c>
      <c r="K3" s="6" t="s">
        <v>20</v>
      </c>
      <c r="L3" s="6" t="s">
        <v>5</v>
      </c>
      <c r="M3" s="6"/>
      <c r="N3" s="105"/>
      <c r="O3" s="105"/>
      <c r="P3" s="105"/>
      <c r="Q3" s="6" t="s">
        <v>23</v>
      </c>
      <c r="R3" s="6" t="s">
        <v>23</v>
      </c>
    </row>
    <row r="4" spans="1:18">
      <c r="A4" s="8"/>
      <c r="B4" s="9"/>
      <c r="C4" s="9"/>
      <c r="D4" s="9"/>
      <c r="E4" s="9"/>
      <c r="F4" s="9"/>
      <c r="G4" s="9"/>
      <c r="H4" s="9"/>
      <c r="I4" s="9" t="s">
        <v>25</v>
      </c>
      <c r="J4" s="10">
        <v>0.04</v>
      </c>
      <c r="K4" s="11">
        <v>0.03</v>
      </c>
      <c r="L4" s="9"/>
      <c r="M4" s="11">
        <v>0.13300000000000001</v>
      </c>
      <c r="N4" s="11">
        <v>0.1</v>
      </c>
      <c r="O4" s="11">
        <v>0.7</v>
      </c>
      <c r="P4" s="11">
        <v>0.5</v>
      </c>
      <c r="Q4" s="9"/>
      <c r="R4" s="12"/>
    </row>
    <row r="5" spans="1:18">
      <c r="A5" s="8"/>
      <c r="B5" s="26" t="s">
        <v>27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27"/>
      <c r="R5" s="28"/>
    </row>
    <row r="6" spans="1:18">
      <c r="A6" s="52">
        <v>21593</v>
      </c>
      <c r="B6" s="56" t="s">
        <v>61</v>
      </c>
      <c r="C6" s="53">
        <v>1</v>
      </c>
      <c r="D6" s="53">
        <v>14</v>
      </c>
      <c r="E6" s="54">
        <v>6.51</v>
      </c>
      <c r="F6" s="53">
        <v>1.2</v>
      </c>
      <c r="G6" s="53"/>
      <c r="H6" s="57">
        <f t="shared" ref="H6:H15" si="0">G$1*E6*F6</f>
        <v>28920.024000000001</v>
      </c>
      <c r="I6" s="53"/>
      <c r="J6" s="53"/>
      <c r="K6" s="53"/>
      <c r="L6" s="53"/>
      <c r="M6" s="53"/>
      <c r="N6" s="54">
        <f>(H6+J6+K6+L6+M6)*N$4</f>
        <v>2892.0024000000003</v>
      </c>
      <c r="O6" s="53">
        <f>(H6+J6+K6+L6+M6+N6)*O$4</f>
        <v>22268.41848</v>
      </c>
      <c r="P6" s="53">
        <f>(H6+J6+K6+L6+M6+N6)*P$4</f>
        <v>15906.013200000001</v>
      </c>
      <c r="Q6" s="54">
        <f>(H6+J6+K6+L6+M6+N6+O6+P6)*C6</f>
        <v>69986.458080000011</v>
      </c>
      <c r="R6" s="55">
        <f>Q6*12</f>
        <v>839837.49696000014</v>
      </c>
    </row>
    <row r="7" spans="1:18">
      <c r="A7" s="13">
        <v>27931</v>
      </c>
      <c r="B7" s="56" t="s">
        <v>73</v>
      </c>
      <c r="C7" s="53">
        <v>0.3</v>
      </c>
      <c r="D7" s="53">
        <v>12</v>
      </c>
      <c r="E7" s="53">
        <v>5.0999999999999996</v>
      </c>
      <c r="F7" s="53">
        <v>1.2</v>
      </c>
      <c r="G7" s="53"/>
      <c r="H7" s="17">
        <f t="shared" si="0"/>
        <v>22656.239999999994</v>
      </c>
      <c r="I7" s="53"/>
      <c r="J7" s="53"/>
      <c r="K7" s="53"/>
      <c r="L7" s="53"/>
      <c r="M7" s="53"/>
      <c r="N7" s="54">
        <f t="shared" ref="N7:N18" si="1">(H7+J7+K7+L7+M7)*N$4</f>
        <v>2265.6239999999993</v>
      </c>
      <c r="O7" s="53">
        <f t="shared" ref="O7:O18" si="2">(H7+J7+K7+L7+M7+N7)*O$4</f>
        <v>17445.304799999994</v>
      </c>
      <c r="P7" s="53">
        <f t="shared" ref="P7:P18" si="3">(H7+J7+K7+L7+M7+N7)*P$4</f>
        <v>12460.931999999997</v>
      </c>
      <c r="Q7" s="54">
        <f t="shared" ref="Q7:Q18" si="4">(H7+J7+K7+L7+M7+N7+O7+P7)*C7</f>
        <v>16448.430239999994</v>
      </c>
      <c r="R7" s="55">
        <f t="shared" ref="R7:R18" si="5">Q7*12</f>
        <v>197381.16287999993</v>
      </c>
    </row>
    <row r="8" spans="1:18">
      <c r="A8" s="52">
        <v>20656</v>
      </c>
      <c r="B8" s="56" t="s">
        <v>64</v>
      </c>
      <c r="C8" s="53">
        <v>1</v>
      </c>
      <c r="D8" s="15">
        <v>12</v>
      </c>
      <c r="E8" s="15">
        <v>5.0999999999999996</v>
      </c>
      <c r="F8" s="15">
        <v>1.2</v>
      </c>
      <c r="G8" s="53"/>
      <c r="H8" s="17">
        <f t="shared" si="0"/>
        <v>22656.239999999994</v>
      </c>
      <c r="I8" s="53"/>
      <c r="J8" s="53"/>
      <c r="K8" s="53"/>
      <c r="L8" s="53"/>
      <c r="M8" s="53"/>
      <c r="N8" s="54">
        <f t="shared" si="1"/>
        <v>2265.6239999999993</v>
      </c>
      <c r="O8" s="53">
        <f t="shared" si="2"/>
        <v>17445.304799999994</v>
      </c>
      <c r="P8" s="53">
        <f t="shared" si="3"/>
        <v>12460.931999999997</v>
      </c>
      <c r="Q8" s="54">
        <f t="shared" si="4"/>
        <v>54828.100799999986</v>
      </c>
      <c r="R8" s="55">
        <f t="shared" si="5"/>
        <v>657937.20959999983</v>
      </c>
    </row>
    <row r="9" spans="1:18">
      <c r="A9" s="52"/>
      <c r="B9" s="56" t="s">
        <v>76</v>
      </c>
      <c r="C9" s="53">
        <v>0.5</v>
      </c>
      <c r="D9" s="53">
        <v>9</v>
      </c>
      <c r="E9" s="53">
        <v>3.53</v>
      </c>
      <c r="F9" s="53">
        <v>1.2</v>
      </c>
      <c r="G9" s="53"/>
      <c r="H9" s="17">
        <f t="shared" si="0"/>
        <v>15681.671999999999</v>
      </c>
      <c r="I9" s="53"/>
      <c r="J9" s="53"/>
      <c r="K9" s="53"/>
      <c r="L9" s="53"/>
      <c r="M9" s="53"/>
      <c r="N9" s="54">
        <f t="shared" si="1"/>
        <v>1568.1671999999999</v>
      </c>
      <c r="O9" s="53">
        <f t="shared" si="2"/>
        <v>12074.887439999999</v>
      </c>
      <c r="P9" s="53">
        <f t="shared" si="3"/>
        <v>8624.9195999999993</v>
      </c>
      <c r="Q9" s="54">
        <f t="shared" si="4"/>
        <v>18974.823119999997</v>
      </c>
      <c r="R9" s="55">
        <f t="shared" si="5"/>
        <v>227697.87743999995</v>
      </c>
    </row>
    <row r="10" spans="1:18">
      <c r="A10" s="13">
        <v>27728</v>
      </c>
      <c r="B10" s="56" t="s">
        <v>60</v>
      </c>
      <c r="C10" s="53">
        <v>0.5</v>
      </c>
      <c r="D10" s="53">
        <v>12</v>
      </c>
      <c r="E10" s="53">
        <v>5.0999999999999996</v>
      </c>
      <c r="F10" s="53">
        <v>1.2</v>
      </c>
      <c r="G10" s="53"/>
      <c r="H10" s="17">
        <f t="shared" si="0"/>
        <v>22656.239999999994</v>
      </c>
      <c r="I10" s="53"/>
      <c r="J10" s="53"/>
      <c r="K10" s="53"/>
      <c r="L10" s="53"/>
      <c r="M10" s="53"/>
      <c r="N10" s="54">
        <f t="shared" si="1"/>
        <v>2265.6239999999993</v>
      </c>
      <c r="O10" s="53">
        <f t="shared" si="2"/>
        <v>17445.304799999994</v>
      </c>
      <c r="P10" s="53">
        <f t="shared" si="3"/>
        <v>12460.931999999997</v>
      </c>
      <c r="Q10" s="54">
        <f t="shared" si="4"/>
        <v>27414.050399999993</v>
      </c>
      <c r="R10" s="55">
        <f t="shared" si="5"/>
        <v>328968.60479999991</v>
      </c>
    </row>
    <row r="11" spans="1:18">
      <c r="A11" s="13">
        <v>26583</v>
      </c>
      <c r="B11" s="56" t="s">
        <v>65</v>
      </c>
      <c r="C11" s="53">
        <v>0.2</v>
      </c>
      <c r="D11" s="53">
        <v>6</v>
      </c>
      <c r="E11" s="53">
        <v>2.44</v>
      </c>
      <c r="F11" s="53">
        <v>1.2</v>
      </c>
      <c r="G11" s="53"/>
      <c r="H11" s="17">
        <f t="shared" si="0"/>
        <v>10839.455999999998</v>
      </c>
      <c r="I11" s="53"/>
      <c r="J11" s="53"/>
      <c r="K11" s="53"/>
      <c r="L11" s="53"/>
      <c r="M11" s="53"/>
      <c r="N11" s="54">
        <f t="shared" si="1"/>
        <v>1083.9455999999998</v>
      </c>
      <c r="O11" s="53">
        <f t="shared" si="2"/>
        <v>8346.3811199999982</v>
      </c>
      <c r="P11" s="53">
        <f t="shared" si="3"/>
        <v>5961.7007999999987</v>
      </c>
      <c r="Q11" s="54">
        <f t="shared" si="4"/>
        <v>5246.2967039999994</v>
      </c>
      <c r="R11" s="55">
        <f t="shared" si="5"/>
        <v>62955.560447999989</v>
      </c>
    </row>
    <row r="12" spans="1:18">
      <c r="A12" s="13">
        <v>22659</v>
      </c>
      <c r="B12" s="56" t="s">
        <v>66</v>
      </c>
      <c r="C12" s="53">
        <v>0.2</v>
      </c>
      <c r="D12" s="53">
        <v>9</v>
      </c>
      <c r="E12" s="53">
        <v>3.53</v>
      </c>
      <c r="F12" s="53">
        <v>1.2</v>
      </c>
      <c r="G12" s="53"/>
      <c r="H12" s="17">
        <f t="shared" si="0"/>
        <v>15681.671999999999</v>
      </c>
      <c r="I12" s="53"/>
      <c r="J12" s="53"/>
      <c r="K12" s="53"/>
      <c r="L12" s="53"/>
      <c r="M12" s="53"/>
      <c r="N12" s="54">
        <f t="shared" si="1"/>
        <v>1568.1671999999999</v>
      </c>
      <c r="O12" s="53">
        <f t="shared" si="2"/>
        <v>12074.887439999999</v>
      </c>
      <c r="P12" s="53">
        <f t="shared" si="3"/>
        <v>8624.9195999999993</v>
      </c>
      <c r="Q12" s="54">
        <f t="shared" si="4"/>
        <v>7589.9292479999995</v>
      </c>
      <c r="R12" s="55">
        <f t="shared" si="5"/>
        <v>91079.15097599999</v>
      </c>
    </row>
    <row r="13" spans="1:18">
      <c r="A13" s="13">
        <v>27931</v>
      </c>
      <c r="B13" s="56" t="s">
        <v>77</v>
      </c>
      <c r="C13" s="53">
        <v>0.3</v>
      </c>
      <c r="D13" s="53">
        <v>9</v>
      </c>
      <c r="E13" s="53">
        <v>3.53</v>
      </c>
      <c r="F13" s="53">
        <v>1.2</v>
      </c>
      <c r="G13" s="53"/>
      <c r="H13" s="17">
        <f t="shared" si="0"/>
        <v>15681.671999999999</v>
      </c>
      <c r="I13" s="53"/>
      <c r="J13" s="53"/>
      <c r="K13" s="53"/>
      <c r="L13" s="53"/>
      <c r="M13" s="53"/>
      <c r="N13" s="54">
        <f t="shared" si="1"/>
        <v>1568.1671999999999</v>
      </c>
      <c r="O13" s="53">
        <f t="shared" si="2"/>
        <v>12074.887439999999</v>
      </c>
      <c r="P13" s="53">
        <f t="shared" si="3"/>
        <v>8624.9195999999993</v>
      </c>
      <c r="Q13" s="54">
        <f t="shared" si="4"/>
        <v>11384.893871999999</v>
      </c>
      <c r="R13" s="55">
        <f t="shared" si="5"/>
        <v>136618.72646399998</v>
      </c>
    </row>
    <row r="14" spans="1:18">
      <c r="A14" s="13"/>
      <c r="B14" s="56" t="s">
        <v>78</v>
      </c>
      <c r="C14" s="53">
        <v>0.3</v>
      </c>
      <c r="D14" s="53">
        <v>9</v>
      </c>
      <c r="E14" s="53">
        <v>3.53</v>
      </c>
      <c r="F14" s="53">
        <v>1.2</v>
      </c>
      <c r="G14" s="53"/>
      <c r="H14" s="17">
        <f t="shared" si="0"/>
        <v>15681.671999999999</v>
      </c>
      <c r="I14" s="53"/>
      <c r="J14" s="53"/>
      <c r="K14" s="53"/>
      <c r="L14" s="53"/>
      <c r="M14" s="53"/>
      <c r="N14" s="54">
        <f t="shared" si="1"/>
        <v>1568.1671999999999</v>
      </c>
      <c r="O14" s="53">
        <f t="shared" si="2"/>
        <v>12074.887439999999</v>
      </c>
      <c r="P14" s="53">
        <f t="shared" si="3"/>
        <v>8624.9195999999993</v>
      </c>
      <c r="Q14" s="54">
        <f t="shared" si="4"/>
        <v>11384.893871999999</v>
      </c>
      <c r="R14" s="55">
        <f t="shared" si="5"/>
        <v>136618.72646399998</v>
      </c>
    </row>
    <row r="15" spans="1:18">
      <c r="A15" s="13">
        <v>21792</v>
      </c>
      <c r="B15" s="56" t="s">
        <v>67</v>
      </c>
      <c r="C15" s="53">
        <v>0.25</v>
      </c>
      <c r="D15" s="53">
        <v>3</v>
      </c>
      <c r="E15" s="15">
        <v>1.69</v>
      </c>
      <c r="F15" s="15">
        <v>1.2</v>
      </c>
      <c r="G15" s="53"/>
      <c r="H15" s="17">
        <f t="shared" si="0"/>
        <v>7507.6559999999999</v>
      </c>
      <c r="I15" s="53"/>
      <c r="J15" s="53"/>
      <c r="K15" s="53"/>
      <c r="L15" s="53"/>
      <c r="M15" s="53"/>
      <c r="N15" s="54">
        <f t="shared" si="1"/>
        <v>750.76560000000006</v>
      </c>
      <c r="O15" s="53">
        <f t="shared" si="2"/>
        <v>5780.8951199999992</v>
      </c>
      <c r="P15" s="53">
        <f t="shared" si="3"/>
        <v>4129.2107999999998</v>
      </c>
      <c r="Q15" s="54">
        <f t="shared" si="4"/>
        <v>4542.1318799999999</v>
      </c>
      <c r="R15" s="55">
        <f t="shared" si="5"/>
        <v>54505.582559999995</v>
      </c>
    </row>
    <row r="16" spans="1:18">
      <c r="A16" s="52"/>
      <c r="B16" s="56" t="s">
        <v>80</v>
      </c>
      <c r="C16" s="53">
        <v>0.5</v>
      </c>
      <c r="D16" s="53">
        <v>5</v>
      </c>
      <c r="E16" s="53">
        <v>2.16</v>
      </c>
      <c r="F16" s="53">
        <v>1.2</v>
      </c>
      <c r="G16" s="53"/>
      <c r="H16" s="17">
        <f>G1*E16*F16</f>
        <v>9595.5840000000007</v>
      </c>
      <c r="I16" s="53"/>
      <c r="J16" s="53"/>
      <c r="K16" s="53"/>
      <c r="L16" s="53"/>
      <c r="M16" s="53"/>
      <c r="N16" s="54">
        <f t="shared" si="1"/>
        <v>959.55840000000012</v>
      </c>
      <c r="O16" s="53">
        <f t="shared" si="2"/>
        <v>7388.5996800000003</v>
      </c>
      <c r="P16" s="53">
        <f t="shared" si="3"/>
        <v>5277.5712000000003</v>
      </c>
      <c r="Q16" s="54">
        <f t="shared" si="4"/>
        <v>11610.656640000001</v>
      </c>
      <c r="R16" s="55">
        <f t="shared" si="5"/>
        <v>139327.87968000001</v>
      </c>
    </row>
    <row r="17" spans="1:20">
      <c r="A17" s="13">
        <v>23998</v>
      </c>
      <c r="B17" s="21" t="s">
        <v>6</v>
      </c>
      <c r="C17" s="15">
        <v>2</v>
      </c>
      <c r="D17" s="15">
        <v>10</v>
      </c>
      <c r="E17" s="15">
        <v>3.99</v>
      </c>
      <c r="F17" s="15">
        <v>1.2</v>
      </c>
      <c r="G17" s="15"/>
      <c r="H17" s="17">
        <f>G1*E17*F17</f>
        <v>17725.175999999999</v>
      </c>
      <c r="I17" s="15"/>
      <c r="J17" s="15"/>
      <c r="K17" s="15"/>
      <c r="L17" s="15"/>
      <c r="M17" s="15"/>
      <c r="N17" s="54">
        <f t="shared" si="1"/>
        <v>1772.5176000000001</v>
      </c>
      <c r="O17" s="53">
        <f t="shared" si="2"/>
        <v>13648.385519999998</v>
      </c>
      <c r="P17" s="53">
        <f t="shared" si="3"/>
        <v>9748.8467999999993</v>
      </c>
      <c r="Q17" s="54">
        <f t="shared" si="4"/>
        <v>85789.851839999988</v>
      </c>
      <c r="R17" s="55">
        <f t="shared" si="5"/>
        <v>1029478.2220799999</v>
      </c>
    </row>
    <row r="18" spans="1:20">
      <c r="A18" s="13">
        <v>19258</v>
      </c>
      <c r="B18" s="21" t="s">
        <v>72</v>
      </c>
      <c r="C18" s="15">
        <v>0.25</v>
      </c>
      <c r="D18" s="15">
        <v>1</v>
      </c>
      <c r="E18" s="15">
        <v>1</v>
      </c>
      <c r="F18" s="15">
        <v>1.2</v>
      </c>
      <c r="G18" s="15"/>
      <c r="H18" s="17">
        <f>G1*F18</f>
        <v>4442.3999999999996</v>
      </c>
      <c r="I18" s="15"/>
      <c r="J18" s="15"/>
      <c r="K18" s="15"/>
      <c r="L18" s="15"/>
      <c r="M18" s="15"/>
      <c r="N18" s="54">
        <f t="shared" si="1"/>
        <v>444.24</v>
      </c>
      <c r="O18" s="53">
        <f t="shared" si="2"/>
        <v>3420.6479999999992</v>
      </c>
      <c r="P18" s="53">
        <f t="shared" si="3"/>
        <v>2443.3199999999997</v>
      </c>
      <c r="Q18" s="54">
        <f t="shared" si="4"/>
        <v>2687.6519999999996</v>
      </c>
      <c r="R18" s="55">
        <f t="shared" si="5"/>
        <v>32251.823999999993</v>
      </c>
    </row>
    <row r="19" spans="1:20">
      <c r="A19" s="13"/>
      <c r="B19" s="21" t="s">
        <v>29</v>
      </c>
      <c r="C19" s="15">
        <f>SUM(C6:C18)</f>
        <v>7.3</v>
      </c>
      <c r="D19" s="15"/>
      <c r="E19" s="15"/>
      <c r="F19" s="15"/>
      <c r="G19" s="15"/>
      <c r="H19" s="17">
        <f>(H17*C17)+H6*C6+H7*C7+H16*C16+H8*C8+H9*C9+H10*C10+H11*C11+H12*C12+H13*C13+H14*C14+H15*C15+H18*C18</f>
        <v>135490.97879999998</v>
      </c>
      <c r="I19" s="15"/>
      <c r="J19" s="15"/>
      <c r="K19" s="15"/>
      <c r="L19" s="15"/>
      <c r="M19" s="15"/>
      <c r="N19" s="15"/>
      <c r="O19" s="15"/>
      <c r="P19" s="15"/>
      <c r="Q19" s="17"/>
      <c r="R19" s="18">
        <f>SUM(R6:R18)</f>
        <v>3934658.0243520001</v>
      </c>
    </row>
    <row r="20" spans="1:20">
      <c r="A20" s="13"/>
      <c r="B20" s="21" t="s">
        <v>38</v>
      </c>
      <c r="C20" s="19">
        <v>0.1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7"/>
      <c r="R20" s="18"/>
    </row>
    <row r="21" spans="1:20">
      <c r="A21" s="13"/>
      <c r="B21" s="21" t="s">
        <v>40</v>
      </c>
      <c r="C21" s="19">
        <v>0.7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7"/>
      <c r="R21" s="18"/>
    </row>
    <row r="22" spans="1:20">
      <c r="A22" s="13"/>
      <c r="B22" s="21" t="s">
        <v>39</v>
      </c>
      <c r="C22" s="19">
        <v>0.5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7"/>
      <c r="R22" s="18"/>
    </row>
    <row r="23" spans="1:20">
      <c r="A23" s="13"/>
      <c r="B23" s="22" t="s">
        <v>29</v>
      </c>
      <c r="C23" s="14">
        <f>C19</f>
        <v>7.3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7"/>
      <c r="R23" s="20">
        <f>SUM(R19:R22)</f>
        <v>3934658.0243520001</v>
      </c>
    </row>
    <row r="24" spans="1:20" ht="24">
      <c r="A24" s="13"/>
      <c r="B24" s="22" t="s">
        <v>63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/>
      <c r="R24" s="18"/>
    </row>
    <row r="25" spans="1:20">
      <c r="A25" s="13">
        <v>15643</v>
      </c>
      <c r="B25" s="21" t="s">
        <v>1</v>
      </c>
      <c r="C25" s="15">
        <v>4.5</v>
      </c>
      <c r="D25" s="15">
        <v>4</v>
      </c>
      <c r="E25" s="15">
        <v>1.91</v>
      </c>
      <c r="F25" s="15">
        <v>1.2</v>
      </c>
      <c r="G25" s="15"/>
      <c r="H25" s="17">
        <f>E25*G1*F25</f>
        <v>8484.9839999999986</v>
      </c>
      <c r="I25" s="17"/>
      <c r="J25" s="17">
        <f>H25*J4</f>
        <v>339.39935999999994</v>
      </c>
      <c r="K25" s="17">
        <f>H25*K4</f>
        <v>254.54951999999994</v>
      </c>
      <c r="L25" s="15"/>
      <c r="M25" s="17">
        <f>H25*0.133</f>
        <v>1128.5028719999998</v>
      </c>
      <c r="N25" s="54">
        <f>(H25+J25+K25+L25+M25)*N$4</f>
        <v>1020.7435751999998</v>
      </c>
      <c r="O25" s="53">
        <f>(H25+J25+K25+L25+M25+N25)*O$4</f>
        <v>7859.725529039998</v>
      </c>
      <c r="P25" s="53">
        <f>(H25+J25+K25+L25+M25+N25)*P$4</f>
        <v>5614.0896635999989</v>
      </c>
      <c r="Q25" s="54">
        <f>(H25+J25+K25+L25+M25+N25+O25+P25)*C25</f>
        <v>111158.97533927998</v>
      </c>
      <c r="R25" s="18">
        <f>Q25*12</f>
        <v>1333907.7040713597</v>
      </c>
    </row>
    <row r="26" spans="1:20" ht="24">
      <c r="A26" s="13">
        <v>18531</v>
      </c>
      <c r="B26" s="21" t="s">
        <v>33</v>
      </c>
      <c r="C26" s="15">
        <v>2</v>
      </c>
      <c r="D26" s="15">
        <v>3</v>
      </c>
      <c r="E26" s="15">
        <v>1.69</v>
      </c>
      <c r="F26" s="15">
        <v>1.2</v>
      </c>
      <c r="G26" s="15"/>
      <c r="H26" s="17">
        <f>E26*G1*F26</f>
        <v>7507.6559999999999</v>
      </c>
      <c r="I26" s="15"/>
      <c r="J26" s="17">
        <f>H26*J4</f>
        <v>300.30624</v>
      </c>
      <c r="K26" s="15"/>
      <c r="L26" s="15"/>
      <c r="M26" s="15"/>
      <c r="N26" s="54">
        <f>(H26+J26+K26+L26+M26)*N$4</f>
        <v>780.79622400000005</v>
      </c>
      <c r="O26" s="53">
        <f>(H26+J26+K26+L26+M26+N26)*O$4</f>
        <v>6012.1309247999998</v>
      </c>
      <c r="P26" s="53">
        <f>(H26+J26+K26+L26+M26+N26)*P$4</f>
        <v>4294.3792320000002</v>
      </c>
      <c r="Q26" s="54">
        <f>(H26+J26+K26+L26+M26+N26+O26+P26)*C26</f>
        <v>37790.537241600003</v>
      </c>
      <c r="R26" s="18">
        <f t="shared" ref="R26:R28" si="6">Q26*12</f>
        <v>453486.44689920003</v>
      </c>
    </row>
    <row r="27" spans="1:20">
      <c r="A27" s="13">
        <v>19906</v>
      </c>
      <c r="B27" s="21" t="s">
        <v>30</v>
      </c>
      <c r="C27" s="15">
        <v>1</v>
      </c>
      <c r="D27" s="15">
        <v>5</v>
      </c>
      <c r="E27" s="15">
        <v>2.16</v>
      </c>
      <c r="F27" s="15">
        <v>1.2</v>
      </c>
      <c r="G27" s="15"/>
      <c r="H27" s="17">
        <f>E27*G1*F27</f>
        <v>9595.5840000000007</v>
      </c>
      <c r="I27" s="15"/>
      <c r="J27" s="17">
        <f>H27*J4</f>
        <v>383.82336000000004</v>
      </c>
      <c r="K27" s="15"/>
      <c r="L27" s="15"/>
      <c r="M27" s="15"/>
      <c r="N27" s="54">
        <f>(H27+J27+K27+L27+M27)*N$4</f>
        <v>997.94073600000013</v>
      </c>
      <c r="O27" s="53">
        <f>(H27+J27+K27+L27+M27+N27)*O$4</f>
        <v>7684.1436672000009</v>
      </c>
      <c r="P27" s="53">
        <f>(H27+J27+K27+L27+M27+N27)*P$4</f>
        <v>5488.6740480000008</v>
      </c>
      <c r="Q27" s="54">
        <f>(H27+J27+K27+L27+M27+N27+O27+P27)*C27</f>
        <v>24150.165811200004</v>
      </c>
      <c r="R27" s="18">
        <f t="shared" si="6"/>
        <v>289801.98973440006</v>
      </c>
    </row>
    <row r="28" spans="1:20">
      <c r="A28" s="13">
        <v>19861</v>
      </c>
      <c r="B28" s="21" t="s">
        <v>79</v>
      </c>
      <c r="C28" s="15">
        <v>0.5</v>
      </c>
      <c r="D28" s="15">
        <v>7</v>
      </c>
      <c r="E28" s="15">
        <v>2.76</v>
      </c>
      <c r="F28" s="15">
        <v>1.2</v>
      </c>
      <c r="G28" s="15"/>
      <c r="H28" s="17">
        <f>E28*G$1*F28</f>
        <v>12261.023999999998</v>
      </c>
      <c r="I28" s="15"/>
      <c r="J28" s="17">
        <f>H28*J4</f>
        <v>490.4409599999999</v>
      </c>
      <c r="K28" s="15"/>
      <c r="L28" s="15"/>
      <c r="M28" s="15"/>
      <c r="N28" s="54">
        <f>(H28+J28+K28+L28+M28)*N$4</f>
        <v>1275.1464959999998</v>
      </c>
      <c r="O28" s="53">
        <f>(H28+J28+K28+L28+M28+N28)*O$4</f>
        <v>9818.6280191999977</v>
      </c>
      <c r="P28" s="53">
        <f>(H28+J28+K28+L28+M28+N28)*P$4</f>
        <v>7013.3057279999985</v>
      </c>
      <c r="Q28" s="54">
        <f>(H28+J28+K28+L28+M28+N28+O28+P28)*C28</f>
        <v>15429.272601599998</v>
      </c>
      <c r="R28" s="18">
        <f t="shared" si="6"/>
        <v>185151.27121919999</v>
      </c>
    </row>
    <row r="29" spans="1:20">
      <c r="A29" s="13"/>
      <c r="B29" s="21" t="s">
        <v>29</v>
      </c>
      <c r="C29" s="15">
        <f>SUM(C25:C28)</f>
        <v>8</v>
      </c>
      <c r="D29" s="15"/>
      <c r="E29" s="15"/>
      <c r="F29" s="15"/>
      <c r="G29" s="15"/>
      <c r="H29" s="17">
        <f>(H25*C25)+C26*H26+H27*C27+C28*H28</f>
        <v>68923.835999999996</v>
      </c>
      <c r="I29" s="15"/>
      <c r="J29" s="15"/>
      <c r="K29" s="15"/>
      <c r="L29" s="15"/>
      <c r="M29" s="15"/>
      <c r="N29" s="15"/>
      <c r="O29" s="15"/>
      <c r="P29" s="15"/>
      <c r="Q29" s="17"/>
      <c r="R29" s="18">
        <f>SUM(R25:R28)</f>
        <v>2262347.4119241601</v>
      </c>
      <c r="S29" s="7"/>
    </row>
    <row r="30" spans="1:20">
      <c r="A30" s="13"/>
      <c r="B30" s="21" t="s">
        <v>38</v>
      </c>
      <c r="C30" s="19">
        <v>0.1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7"/>
      <c r="R30" s="18"/>
      <c r="S30" s="7"/>
    </row>
    <row r="31" spans="1:20">
      <c r="A31" s="13"/>
      <c r="B31" s="21" t="s">
        <v>40</v>
      </c>
      <c r="C31" s="19">
        <v>0.7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7"/>
      <c r="R31" s="18"/>
      <c r="S31" s="7"/>
      <c r="T31" s="7"/>
    </row>
    <row r="32" spans="1:20">
      <c r="A32" s="13"/>
      <c r="B32" s="21" t="s">
        <v>39</v>
      </c>
      <c r="C32" s="19">
        <v>0.5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7"/>
      <c r="R32" s="18"/>
      <c r="S32" s="7"/>
      <c r="T32" s="7"/>
    </row>
    <row r="33" spans="1:18">
      <c r="A33" s="13"/>
      <c r="B33" s="22" t="s">
        <v>29</v>
      </c>
      <c r="C33" s="14">
        <f>C29</f>
        <v>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7"/>
      <c r="R33" s="20">
        <f>R29+R30+R31+R32</f>
        <v>2262347.4119241601</v>
      </c>
    </row>
    <row r="34" spans="1:18">
      <c r="A34" s="13"/>
      <c r="B34" s="103" t="s">
        <v>58</v>
      </c>
      <c r="C34" s="103"/>
      <c r="D34" s="103"/>
      <c r="E34" s="10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7"/>
      <c r="R34" s="18"/>
    </row>
    <row r="35" spans="1:18">
      <c r="A35" s="13">
        <v>18560</v>
      </c>
      <c r="B35" s="21" t="s">
        <v>0</v>
      </c>
      <c r="C35" s="15">
        <v>0.5</v>
      </c>
      <c r="D35" s="15">
        <v>3</v>
      </c>
      <c r="E35" s="15">
        <v>1.69</v>
      </c>
      <c r="F35" s="15">
        <v>1.2</v>
      </c>
      <c r="G35" s="15"/>
      <c r="H35" s="17">
        <f>E35*G1*F35</f>
        <v>7507.6559999999999</v>
      </c>
      <c r="I35" s="15"/>
      <c r="J35" s="15"/>
      <c r="K35" s="15"/>
      <c r="L35" s="15"/>
      <c r="M35" s="15"/>
      <c r="N35" s="54">
        <f>(H35+J35+K35+L35+M35)*N$4</f>
        <v>750.76560000000006</v>
      </c>
      <c r="O35" s="53">
        <f>(H35+J35+K35+L35+M35+N35)*O$4</f>
        <v>5780.8951199999992</v>
      </c>
      <c r="P35" s="53">
        <f>(H35+J35+K35+L35+M35+N35)*P$4</f>
        <v>4129.2107999999998</v>
      </c>
      <c r="Q35" s="54">
        <f>(H35+J35+K35+L35+M35+N35+O35+P35)*C35</f>
        <v>9084.2637599999998</v>
      </c>
      <c r="R35" s="18">
        <f>Q35*12</f>
        <v>109011.16511999999</v>
      </c>
    </row>
    <row r="36" spans="1:18">
      <c r="A36" s="13">
        <v>11471</v>
      </c>
      <c r="B36" s="21" t="s">
        <v>7</v>
      </c>
      <c r="C36" s="15">
        <v>0.3</v>
      </c>
      <c r="D36" s="15">
        <v>1</v>
      </c>
      <c r="E36" s="15">
        <v>1</v>
      </c>
      <c r="F36" s="15">
        <v>1.2</v>
      </c>
      <c r="G36" s="15"/>
      <c r="H36" s="17">
        <f>E36*G1*F36</f>
        <v>4442.3999999999996</v>
      </c>
      <c r="I36" s="15"/>
      <c r="J36" s="15"/>
      <c r="K36" s="17">
        <f>H36*K4</f>
        <v>133.27199999999999</v>
      </c>
      <c r="L36" s="15"/>
      <c r="M36" s="15"/>
      <c r="N36" s="54">
        <f>(H36+J36+K36+L36+M36)*0.4</f>
        <v>1830.2687999999998</v>
      </c>
      <c r="O36" s="53">
        <f>(H36+J36+K36+L36+M36+N36)*O$4</f>
        <v>4484.1585599999989</v>
      </c>
      <c r="P36" s="53">
        <f>(H36+J36+K36+L36+M36+N36)*P$4</f>
        <v>3202.9703999999997</v>
      </c>
      <c r="Q36" s="54">
        <f>(H36+J36+K36+L36+M36+N36+O36+P36)*C36</f>
        <v>4227.9209279999995</v>
      </c>
      <c r="R36" s="18">
        <f>Q36*12</f>
        <v>50735.051135999995</v>
      </c>
    </row>
    <row r="37" spans="1:18">
      <c r="A37" s="13"/>
      <c r="B37" s="21" t="s">
        <v>29</v>
      </c>
      <c r="C37" s="15">
        <f>SUM(C35:C36)</f>
        <v>0.8</v>
      </c>
      <c r="D37" s="15"/>
      <c r="E37" s="15"/>
      <c r="F37" s="15"/>
      <c r="G37" s="15"/>
      <c r="H37" s="17">
        <f>(H35*C35)+(H36*C36)</f>
        <v>5086.5479999999998</v>
      </c>
      <c r="I37" s="15"/>
      <c r="J37" s="15"/>
      <c r="K37" s="15"/>
      <c r="L37" s="15"/>
      <c r="M37" s="15"/>
      <c r="N37" s="15"/>
      <c r="O37" s="15"/>
      <c r="P37" s="15"/>
      <c r="Q37" s="17"/>
      <c r="R37" s="18">
        <f>SUM(R35:R36)</f>
        <v>159746.21625599999</v>
      </c>
    </row>
    <row r="38" spans="1:18">
      <c r="A38" s="13"/>
      <c r="B38" s="21" t="s">
        <v>38</v>
      </c>
      <c r="C38" s="19">
        <v>0.25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7"/>
      <c r="R38" s="18"/>
    </row>
    <row r="39" spans="1:18">
      <c r="A39" s="13"/>
      <c r="B39" s="21" t="s">
        <v>40</v>
      </c>
      <c r="C39" s="19">
        <v>0.7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7"/>
      <c r="R39" s="18"/>
    </row>
    <row r="40" spans="1:18">
      <c r="A40" s="13"/>
      <c r="B40" s="21" t="s">
        <v>39</v>
      </c>
      <c r="C40" s="19">
        <v>0.5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7"/>
      <c r="R40" s="18"/>
    </row>
    <row r="41" spans="1:18">
      <c r="A41" s="13"/>
      <c r="B41" s="22" t="s">
        <v>29</v>
      </c>
      <c r="C41" s="14">
        <f>C37</f>
        <v>0.8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7"/>
      <c r="R41" s="20">
        <f>SUM(R37:R40)</f>
        <v>159746.21625599999</v>
      </c>
    </row>
    <row r="42" spans="1:18">
      <c r="A42" s="13"/>
      <c r="B42" s="22" t="s">
        <v>59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7"/>
      <c r="R42" s="18"/>
    </row>
    <row r="43" spans="1:18">
      <c r="A43" s="13">
        <v>11442</v>
      </c>
      <c r="B43" s="21" t="s">
        <v>34</v>
      </c>
      <c r="C43" s="15">
        <v>0.5</v>
      </c>
      <c r="D43" s="15">
        <v>5</v>
      </c>
      <c r="E43" s="15">
        <v>2.16</v>
      </c>
      <c r="F43" s="15">
        <v>1.2</v>
      </c>
      <c r="G43" s="15"/>
      <c r="H43" s="17">
        <f>G1*E43*F43</f>
        <v>9595.5840000000007</v>
      </c>
      <c r="I43" s="15"/>
      <c r="J43" s="15"/>
      <c r="K43" s="17">
        <f>H43*K4</f>
        <v>287.86752000000001</v>
      </c>
      <c r="L43" s="15">
        <f>H43*0.1</f>
        <v>959.55840000000012</v>
      </c>
      <c r="M43" s="15"/>
      <c r="N43" s="54">
        <f>(H43+J43+K43+L43+M43)*N$4</f>
        <v>1084.3009920000002</v>
      </c>
      <c r="O43" s="53">
        <f>(H43+J43+K43+L43+M43+N43)*O$4</f>
        <v>8349.1176384000009</v>
      </c>
      <c r="P43" s="53">
        <f>(H43+J43+K43+L43+M43+N43)*P$4</f>
        <v>5963.6554560000004</v>
      </c>
      <c r="Q43" s="54">
        <f>(H43+J43+K43+L43+M43+N43+O43+P43)*C43</f>
        <v>13120.0420032</v>
      </c>
      <c r="R43" s="18">
        <f>Q43*12</f>
        <v>157440.50403840002</v>
      </c>
    </row>
    <row r="44" spans="1:18">
      <c r="A44" s="13"/>
      <c r="B44" s="21" t="s">
        <v>29</v>
      </c>
      <c r="C44" s="15">
        <f>SUM(C43)</f>
        <v>0.5</v>
      </c>
      <c r="D44" s="15"/>
      <c r="E44" s="15"/>
      <c r="F44" s="15"/>
      <c r="G44" s="15"/>
      <c r="H44" s="37">
        <f>H43*0.5</f>
        <v>4797.7920000000004</v>
      </c>
      <c r="I44" s="15"/>
      <c r="J44" s="15"/>
      <c r="K44" s="15"/>
      <c r="L44" s="15"/>
      <c r="M44" s="15"/>
      <c r="N44" s="15"/>
      <c r="O44" s="15"/>
      <c r="P44" s="15"/>
      <c r="Q44" s="17"/>
      <c r="R44" s="18">
        <f>SUM(R43)</f>
        <v>157440.50403840002</v>
      </c>
    </row>
    <row r="45" spans="1:18">
      <c r="A45" s="13"/>
      <c r="B45" s="21" t="s">
        <v>38</v>
      </c>
      <c r="C45" s="19">
        <v>0.1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7"/>
      <c r="R45" s="18"/>
    </row>
    <row r="46" spans="1:18">
      <c r="A46" s="13"/>
      <c r="B46" s="21" t="s">
        <v>40</v>
      </c>
      <c r="C46" s="19">
        <v>0.7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7"/>
      <c r="R46" s="18"/>
    </row>
    <row r="47" spans="1:18">
      <c r="A47" s="13"/>
      <c r="B47" s="21" t="s">
        <v>39</v>
      </c>
      <c r="C47" s="19">
        <v>0.5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7"/>
      <c r="R47" s="18"/>
    </row>
    <row r="48" spans="1:18">
      <c r="A48" s="13"/>
      <c r="B48" s="22" t="s">
        <v>29</v>
      </c>
      <c r="C48" s="14">
        <f>C44</f>
        <v>0.5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7"/>
      <c r="R48" s="20">
        <f>SUM(R44:R47)</f>
        <v>157440.50403840002</v>
      </c>
    </row>
    <row r="49" spans="1:19">
      <c r="A49" s="13">
        <v>11442</v>
      </c>
      <c r="B49" s="21" t="s">
        <v>55</v>
      </c>
      <c r="C49" s="15">
        <v>0.5</v>
      </c>
      <c r="D49" s="15">
        <v>1</v>
      </c>
      <c r="E49" s="15">
        <v>2.16</v>
      </c>
      <c r="F49" s="15">
        <v>1.2</v>
      </c>
      <c r="G49" s="15"/>
      <c r="H49" s="17">
        <f>G1*E49*F49</f>
        <v>9595.5840000000007</v>
      </c>
      <c r="I49" s="15"/>
      <c r="J49" s="17">
        <f>H49*J4</f>
        <v>383.82336000000004</v>
      </c>
      <c r="K49" s="15"/>
      <c r="L49" s="15">
        <f>H49*10%</f>
        <v>959.55840000000012</v>
      </c>
      <c r="M49" s="15"/>
      <c r="N49" s="54">
        <f>(H49+J49+K49+L49+M49)*N$4</f>
        <v>1093.8965760000001</v>
      </c>
      <c r="O49" s="53">
        <f>(H49+J49+K49+L49+M49+N49)*O$4</f>
        <v>8423.0036352000006</v>
      </c>
      <c r="P49" s="53">
        <f>(H49+J49+K49+L49+M49+N49)*P$4</f>
        <v>6016.431168000001</v>
      </c>
      <c r="Q49" s="54">
        <f>(H49+J49+K49+L49+M49+N49+O49+P49)*C49</f>
        <v>13236.148569600002</v>
      </c>
      <c r="R49" s="18">
        <f>Q49*12</f>
        <v>158833.78283520002</v>
      </c>
    </row>
    <row r="50" spans="1:19" ht="12.75" customHeight="1">
      <c r="A50" s="13"/>
      <c r="B50" s="21" t="s">
        <v>29</v>
      </c>
      <c r="C50" s="15">
        <f>SUM(C49:C49)</f>
        <v>0.5</v>
      </c>
      <c r="D50" s="15"/>
      <c r="E50" s="15"/>
      <c r="F50" s="15"/>
      <c r="G50" s="15"/>
      <c r="H50" s="17"/>
      <c r="I50" s="15"/>
      <c r="J50" s="15"/>
      <c r="K50" s="15"/>
      <c r="L50" s="15"/>
      <c r="M50" s="15"/>
      <c r="N50" s="15"/>
      <c r="O50" s="15"/>
      <c r="P50" s="15"/>
      <c r="Q50" s="17"/>
      <c r="R50" s="18">
        <f>SUM(R49:R49)</f>
        <v>158833.78283520002</v>
      </c>
    </row>
    <row r="51" spans="1:19">
      <c r="A51" s="13"/>
      <c r="B51" s="21" t="s">
        <v>38</v>
      </c>
      <c r="C51" s="19">
        <v>0.1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7"/>
      <c r="R51" s="18"/>
    </row>
    <row r="52" spans="1:19">
      <c r="A52" s="13"/>
      <c r="B52" s="21" t="s">
        <v>40</v>
      </c>
      <c r="C52" s="19">
        <v>0.7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7"/>
      <c r="R52" s="18"/>
    </row>
    <row r="53" spans="1:19">
      <c r="A53" s="13"/>
      <c r="B53" s="21" t="s">
        <v>39</v>
      </c>
      <c r="C53" s="19">
        <v>0.5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7"/>
      <c r="R53" s="18"/>
    </row>
    <row r="54" spans="1:19">
      <c r="A54" s="13"/>
      <c r="B54" s="22" t="s">
        <v>29</v>
      </c>
      <c r="C54" s="14">
        <f>C50</f>
        <v>0.5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7"/>
      <c r="R54" s="20">
        <f>SUM(R50:R53)</f>
        <v>158833.78283520002</v>
      </c>
    </row>
    <row r="55" spans="1:19">
      <c r="A55" s="13"/>
      <c r="B55" s="23" t="s">
        <v>37</v>
      </c>
      <c r="C55" s="14">
        <f>C33+C41+C48+C54</f>
        <v>9.8000000000000007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20">
        <f>R23+R33+R41+R48+R54</f>
        <v>6673025.9394057607</v>
      </c>
    </row>
    <row r="56" spans="1:19">
      <c r="A56" s="101" t="s">
        <v>62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3"/>
      <c r="M56" s="3"/>
      <c r="N56" s="3"/>
      <c r="O56" s="3"/>
      <c r="P56" s="3"/>
      <c r="Q56" s="3"/>
      <c r="R56" s="58"/>
    </row>
    <row r="57" spans="1:19">
      <c r="A57" s="13"/>
      <c r="B57" s="22" t="s">
        <v>68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7"/>
      <c r="R57" s="18"/>
    </row>
    <row r="58" spans="1:19">
      <c r="A58" s="13">
        <v>15643</v>
      </c>
      <c r="B58" s="21" t="s">
        <v>1</v>
      </c>
      <c r="C58" s="15">
        <v>4.5</v>
      </c>
      <c r="D58" s="15">
        <v>4</v>
      </c>
      <c r="E58" s="15">
        <v>1.91</v>
      </c>
      <c r="F58" s="15">
        <v>1.2</v>
      </c>
      <c r="G58" s="15"/>
      <c r="H58" s="17">
        <f>E58*G1*F58</f>
        <v>8484.9839999999986</v>
      </c>
      <c r="I58" s="17"/>
      <c r="J58" s="17">
        <f>H58*J4</f>
        <v>339.39935999999994</v>
      </c>
      <c r="K58" s="17">
        <f>H58*K4</f>
        <v>254.54951999999994</v>
      </c>
      <c r="L58" s="15"/>
      <c r="M58" s="17">
        <f>H58*0.133</f>
        <v>1128.5028719999998</v>
      </c>
      <c r="N58" s="54">
        <f>(H58+J58+K58+L58+M58)*N$4</f>
        <v>1020.7435751999998</v>
      </c>
      <c r="O58" s="53">
        <f>(H58+J58+K58+L58+M58+N58)*O$4</f>
        <v>7859.725529039998</v>
      </c>
      <c r="P58" s="53">
        <f>(H58+J58+K58+L58+M58+N58)*P$4</f>
        <v>5614.0896635999989</v>
      </c>
      <c r="Q58" s="54">
        <f>(H58+J58+K58+L58+M58+N58+O58+P58)*C58</f>
        <v>111158.97533927998</v>
      </c>
      <c r="R58" s="18">
        <f>Q58*12</f>
        <v>1333907.7040713597</v>
      </c>
    </row>
    <row r="59" spans="1:19" ht="24">
      <c r="A59" s="13">
        <v>18531</v>
      </c>
      <c r="B59" s="21" t="s">
        <v>35</v>
      </c>
      <c r="C59" s="15">
        <v>2</v>
      </c>
      <c r="D59" s="15">
        <v>3</v>
      </c>
      <c r="E59" s="15">
        <v>1.69</v>
      </c>
      <c r="F59" s="15">
        <v>1.2</v>
      </c>
      <c r="G59" s="15"/>
      <c r="H59" s="17">
        <f>E59*G1*F59</f>
        <v>7507.6559999999999</v>
      </c>
      <c r="I59" s="15"/>
      <c r="J59" s="17">
        <f>H59*J4</f>
        <v>300.30624</v>
      </c>
      <c r="K59" s="15"/>
      <c r="L59" s="15"/>
      <c r="M59" s="15"/>
      <c r="N59" s="54">
        <f>(H59+J59+K59+L59+M59)*N$4</f>
        <v>780.79622400000005</v>
      </c>
      <c r="O59" s="54">
        <f>(H59+J59+K59+L59+M59+N59)*O$4</f>
        <v>6012.1309247999998</v>
      </c>
      <c r="P59" s="54">
        <f>(H59+J59+K59+L59+M59+N59)*P$4</f>
        <v>4294.3792320000002</v>
      </c>
      <c r="Q59" s="54">
        <f>(H59+J59+K59+L59+M59+N59+O59+P59)*C59</f>
        <v>37790.537241600003</v>
      </c>
      <c r="R59" s="18">
        <f>Q59*1*12</f>
        <v>453486.44689920003</v>
      </c>
    </row>
    <row r="60" spans="1:19">
      <c r="A60" s="13">
        <v>19906</v>
      </c>
      <c r="B60" s="21" t="s">
        <v>30</v>
      </c>
      <c r="C60" s="15">
        <v>1</v>
      </c>
      <c r="D60" s="15">
        <v>7</v>
      </c>
      <c r="E60" s="15">
        <v>2.76</v>
      </c>
      <c r="F60" s="15">
        <v>1.2</v>
      </c>
      <c r="G60" s="15"/>
      <c r="H60" s="17">
        <f>E60*G1*F60</f>
        <v>12261.023999999998</v>
      </c>
      <c r="I60" s="15"/>
      <c r="J60" s="17">
        <f>H60*J4</f>
        <v>490.4409599999999</v>
      </c>
      <c r="K60" s="15"/>
      <c r="L60" s="15"/>
      <c r="M60" s="15"/>
      <c r="N60" s="54">
        <f>(H60+J60+K60+L60+M60)*N$4</f>
        <v>1275.1464959999998</v>
      </c>
      <c r="O60" s="54">
        <f>(H60+J60+K60+L60+M60+N60)*O$4</f>
        <v>9818.6280191999977</v>
      </c>
      <c r="P60" s="54">
        <f>(H60+J60+K60+L60+M60+N60)*P$4</f>
        <v>7013.3057279999985</v>
      </c>
      <c r="Q60" s="54">
        <f>(H60+J60+K60+L60+M60+N60+O60+P60)*C60</f>
        <v>30858.545203199996</v>
      </c>
      <c r="R60" s="18">
        <f>Q60*12</f>
        <v>370302.54243839998</v>
      </c>
    </row>
    <row r="61" spans="1:19" ht="24">
      <c r="A61" s="13">
        <v>19861</v>
      </c>
      <c r="B61" s="21" t="s">
        <v>36</v>
      </c>
      <c r="C61" s="15">
        <v>1</v>
      </c>
      <c r="D61" s="15">
        <v>5</v>
      </c>
      <c r="E61" s="15">
        <v>2.16</v>
      </c>
      <c r="F61" s="15">
        <v>1.2</v>
      </c>
      <c r="G61" s="15"/>
      <c r="H61" s="17">
        <f>G1*E61*F61</f>
        <v>9595.5840000000007</v>
      </c>
      <c r="I61" s="15"/>
      <c r="J61" s="17">
        <f>H61*J4</f>
        <v>383.82336000000004</v>
      </c>
      <c r="K61" s="15"/>
      <c r="L61" s="15"/>
      <c r="M61" s="15"/>
      <c r="N61" s="54">
        <f>(H61+J61+K61+L61+M61)*N$4</f>
        <v>997.94073600000013</v>
      </c>
      <c r="O61" s="54">
        <f>(H61+J61+K61+L61+M61+N61)*O$4</f>
        <v>7684.1436672000009</v>
      </c>
      <c r="P61" s="54">
        <f>(H61+J61+K61+L61+M61+N61)*P$4</f>
        <v>5488.6740480000008</v>
      </c>
      <c r="Q61" s="54">
        <f>(H61+J61+K61+L61+M61+N61+O61+P61)*C61</f>
        <v>24150.165811200004</v>
      </c>
      <c r="R61" s="18">
        <f>Q61*12</f>
        <v>289801.98973440006</v>
      </c>
    </row>
    <row r="62" spans="1:19">
      <c r="A62" s="13"/>
      <c r="B62" s="21" t="s">
        <v>29</v>
      </c>
      <c r="C62" s="15">
        <f>SUM(C58:C61)</f>
        <v>8.5</v>
      </c>
      <c r="D62" s="15"/>
      <c r="E62" s="15"/>
      <c r="F62" s="15"/>
      <c r="G62" s="15"/>
      <c r="H62" s="17">
        <f>(H58*C58)+(H59*C59)+H60+H61</f>
        <v>75054.347999999984</v>
      </c>
      <c r="I62" s="15"/>
      <c r="J62" s="15"/>
      <c r="K62" s="15"/>
      <c r="L62" s="15"/>
      <c r="M62" s="15"/>
      <c r="N62" s="15"/>
      <c r="O62" s="17"/>
      <c r="P62" s="17"/>
      <c r="Q62" s="17"/>
      <c r="R62" s="18">
        <f>SUM(R58:R61)</f>
        <v>2447498.6831433596</v>
      </c>
      <c r="S62" s="7"/>
    </row>
    <row r="63" spans="1:19">
      <c r="A63" s="13"/>
      <c r="B63" s="21" t="s">
        <v>38</v>
      </c>
      <c r="C63" s="19">
        <v>0.1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7"/>
      <c r="P63" s="17"/>
      <c r="Q63" s="17"/>
      <c r="R63" s="18"/>
      <c r="S63" s="7"/>
    </row>
    <row r="64" spans="1:19">
      <c r="A64" s="13"/>
      <c r="B64" s="21" t="s">
        <v>40</v>
      </c>
      <c r="C64" s="19">
        <v>0.7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7"/>
      <c r="P64" s="17"/>
      <c r="Q64" s="17"/>
      <c r="R64" s="18"/>
      <c r="S64" s="7"/>
    </row>
    <row r="65" spans="1:19">
      <c r="A65" s="13"/>
      <c r="B65" s="21" t="s">
        <v>39</v>
      </c>
      <c r="C65" s="19">
        <v>0.5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7"/>
      <c r="P65" s="17"/>
      <c r="Q65" s="17"/>
      <c r="R65" s="18"/>
      <c r="S65" s="7"/>
    </row>
    <row r="66" spans="1:19">
      <c r="A66" s="13"/>
      <c r="B66" s="22" t="s">
        <v>29</v>
      </c>
      <c r="C66" s="14">
        <f>C62</f>
        <v>8.5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7"/>
      <c r="P66" s="17"/>
      <c r="Q66" s="17"/>
      <c r="R66" s="20">
        <f>R62+R63+R64+R65</f>
        <v>2447498.6831433596</v>
      </c>
      <c r="S66" s="7"/>
    </row>
    <row r="67" spans="1:19">
      <c r="A67" s="13"/>
      <c r="B67" s="103" t="s">
        <v>69</v>
      </c>
      <c r="C67" s="103"/>
      <c r="D67" s="103"/>
      <c r="E67" s="103"/>
      <c r="F67" s="15"/>
      <c r="G67" s="15"/>
      <c r="H67" s="15"/>
      <c r="I67" s="15"/>
      <c r="J67" s="15"/>
      <c r="K67" s="15"/>
      <c r="L67" s="15"/>
      <c r="M67" s="15"/>
      <c r="N67" s="15"/>
      <c r="O67" s="17"/>
      <c r="P67" s="17"/>
      <c r="Q67" s="17"/>
      <c r="R67" s="18"/>
    </row>
    <row r="68" spans="1:19">
      <c r="A68" s="13">
        <v>18560</v>
      </c>
      <c r="B68" s="21" t="s">
        <v>0</v>
      </c>
      <c r="C68" s="15">
        <v>0.5</v>
      </c>
      <c r="D68" s="15">
        <v>3</v>
      </c>
      <c r="E68" s="15">
        <v>1.69</v>
      </c>
      <c r="F68" s="15">
        <v>1.2</v>
      </c>
      <c r="G68" s="15"/>
      <c r="H68" s="17">
        <f>G1*E68*F68</f>
        <v>7507.6559999999999</v>
      </c>
      <c r="I68" s="15"/>
      <c r="J68" s="15"/>
      <c r="K68" s="15"/>
      <c r="L68" s="15"/>
      <c r="M68" s="15"/>
      <c r="N68" s="54">
        <f>(H68+J68+K68+L68+M68)*N$4</f>
        <v>750.76560000000006</v>
      </c>
      <c r="O68" s="54">
        <f>(H68+J68+K68+L68+M68+N68)*O$4</f>
        <v>5780.8951199999992</v>
      </c>
      <c r="P68" s="54">
        <f>(H68+J68+K68+L68+M68+N68)*P$4</f>
        <v>4129.2107999999998</v>
      </c>
      <c r="Q68" s="54">
        <f>(H68+J68+K68+L68+M68+N68+O68+P68)*C68</f>
        <v>9084.2637599999998</v>
      </c>
      <c r="R68" s="18">
        <f>Q68*12</f>
        <v>109011.16511999999</v>
      </c>
    </row>
    <row r="69" spans="1:19">
      <c r="A69" s="13">
        <v>11471</v>
      </c>
      <c r="B69" s="21" t="s">
        <v>7</v>
      </c>
      <c r="C69" s="15">
        <v>0.3</v>
      </c>
      <c r="D69" s="15">
        <v>1</v>
      </c>
      <c r="E69" s="15">
        <v>1</v>
      </c>
      <c r="F69" s="15">
        <v>1.2</v>
      </c>
      <c r="G69" s="15"/>
      <c r="H69" s="17">
        <f>G1*E69*F69</f>
        <v>4442.3999999999996</v>
      </c>
      <c r="I69" s="15"/>
      <c r="J69" s="15"/>
      <c r="K69" s="17">
        <f>H69*K4</f>
        <v>133.27199999999999</v>
      </c>
      <c r="L69" s="15"/>
      <c r="M69" s="15"/>
      <c r="N69" s="54">
        <f>(H69+J69+K69+L69+M69)*0.25</f>
        <v>1143.9179999999999</v>
      </c>
      <c r="O69" s="54">
        <f>(H69+J69+K69+L69+M69+N69)*O$4</f>
        <v>4003.7129999999993</v>
      </c>
      <c r="P69" s="54">
        <f>(H69+J69+K69+L69+M69+N69)*P$4</f>
        <v>2859.7949999999996</v>
      </c>
      <c r="Q69" s="54">
        <f>(H69+J69+K69+L69+M69+N69+O69+P69)*C69</f>
        <v>3774.9293999999991</v>
      </c>
      <c r="R69" s="18">
        <f>Q69*12</f>
        <v>45299.152799999989</v>
      </c>
    </row>
    <row r="70" spans="1:19">
      <c r="A70" s="13"/>
      <c r="B70" s="21" t="s">
        <v>29</v>
      </c>
      <c r="C70" s="15">
        <f>SUM(C68:C69)</f>
        <v>0.8</v>
      </c>
      <c r="D70" s="15"/>
      <c r="E70" s="15"/>
      <c r="F70" s="15"/>
      <c r="G70" s="15"/>
      <c r="H70" s="15">
        <f>(H68*C68)+(H69*C69)</f>
        <v>5086.5479999999998</v>
      </c>
      <c r="I70" s="15"/>
      <c r="J70" s="15"/>
      <c r="K70" s="15"/>
      <c r="L70" s="15"/>
      <c r="M70" s="15"/>
      <c r="N70" s="15"/>
      <c r="O70" s="17"/>
      <c r="P70" s="17"/>
      <c r="Q70" s="17"/>
      <c r="R70" s="18">
        <f>SUM(R68:R69)</f>
        <v>154310.31791999997</v>
      </c>
    </row>
    <row r="71" spans="1:19">
      <c r="A71" s="13"/>
      <c r="B71" s="21" t="s">
        <v>38</v>
      </c>
      <c r="C71" s="19">
        <v>0.25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7"/>
      <c r="P71" s="17"/>
      <c r="Q71" s="17"/>
      <c r="R71" s="18"/>
    </row>
    <row r="72" spans="1:19">
      <c r="A72" s="13"/>
      <c r="B72" s="21" t="s">
        <v>40</v>
      </c>
      <c r="C72" s="19">
        <v>0.7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7"/>
      <c r="P72" s="17"/>
      <c r="Q72" s="17"/>
      <c r="R72" s="18"/>
    </row>
    <row r="73" spans="1:19">
      <c r="A73" s="13"/>
      <c r="B73" s="21" t="s">
        <v>39</v>
      </c>
      <c r="C73" s="19">
        <v>0.5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7"/>
      <c r="P73" s="17"/>
      <c r="Q73" s="17"/>
      <c r="R73" s="18"/>
    </row>
    <row r="74" spans="1:19">
      <c r="A74" s="13"/>
      <c r="B74" s="22" t="s">
        <v>29</v>
      </c>
      <c r="C74" s="14">
        <f>C70</f>
        <v>0.8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7"/>
      <c r="P74" s="17"/>
      <c r="Q74" s="17"/>
      <c r="R74" s="20">
        <f>SUM(R70:R73)</f>
        <v>154310.31791999997</v>
      </c>
      <c r="S74" s="7"/>
    </row>
    <row r="75" spans="1:19">
      <c r="A75" s="13"/>
      <c r="B75" s="22" t="s">
        <v>70</v>
      </c>
      <c r="C75" s="14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7"/>
      <c r="P75" s="17"/>
      <c r="Q75" s="17"/>
      <c r="R75" s="20"/>
    </row>
    <row r="76" spans="1:19">
      <c r="A76" s="13">
        <v>11442</v>
      </c>
      <c r="B76" s="21" t="s">
        <v>31</v>
      </c>
      <c r="C76" s="15">
        <v>0.3</v>
      </c>
      <c r="D76" s="15">
        <v>5</v>
      </c>
      <c r="E76" s="15">
        <v>2.16</v>
      </c>
      <c r="F76" s="15">
        <v>1.2</v>
      </c>
      <c r="G76" s="15"/>
      <c r="H76" s="17">
        <f>G1*E76*F76</f>
        <v>9595.5840000000007</v>
      </c>
      <c r="I76" s="15"/>
      <c r="J76" s="15"/>
      <c r="K76" s="17">
        <f>H76*K4</f>
        <v>287.86752000000001</v>
      </c>
      <c r="L76" s="15">
        <f>H76*0.1</f>
        <v>959.55840000000012</v>
      </c>
      <c r="M76" s="15"/>
      <c r="N76" s="54">
        <f>(H76+J76+K76+L76+M76)*N$4</f>
        <v>1084.3009920000002</v>
      </c>
      <c r="O76" s="54">
        <f>(H76+J76+K76+L76+M76+N76)*O$4</f>
        <v>8349.1176384000009</v>
      </c>
      <c r="P76" s="54">
        <f>(H76+J76+K76+L76+M76+N76)*P$4</f>
        <v>5963.6554560000004</v>
      </c>
      <c r="Q76" s="54">
        <f>(H76+J76+K76+L76+M76+N76+O76+P76)*C76</f>
        <v>7872.0252019199997</v>
      </c>
      <c r="R76" s="18">
        <f>Q76*12</f>
        <v>94464.302423040004</v>
      </c>
    </row>
    <row r="77" spans="1:19">
      <c r="A77" s="13"/>
      <c r="B77" s="21" t="s">
        <v>38</v>
      </c>
      <c r="C77" s="19">
        <v>0.1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7"/>
      <c r="P77" s="17"/>
      <c r="Q77" s="17"/>
      <c r="R77" s="18"/>
    </row>
    <row r="78" spans="1:19">
      <c r="A78" s="13"/>
      <c r="B78" s="21" t="s">
        <v>40</v>
      </c>
      <c r="C78" s="19">
        <v>0.7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7"/>
      <c r="P78" s="17"/>
      <c r="Q78" s="17"/>
      <c r="R78" s="18"/>
    </row>
    <row r="79" spans="1:19">
      <c r="A79" s="13"/>
      <c r="B79" s="21" t="s">
        <v>39</v>
      </c>
      <c r="C79" s="19">
        <v>0.5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7"/>
      <c r="P79" s="17"/>
      <c r="Q79" s="17"/>
      <c r="R79" s="18"/>
    </row>
    <row r="80" spans="1:19">
      <c r="A80" s="13"/>
      <c r="B80" s="22" t="s">
        <v>29</v>
      </c>
      <c r="C80" s="14">
        <f>C76</f>
        <v>0.3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7"/>
      <c r="P80" s="17"/>
      <c r="Q80" s="17"/>
      <c r="R80" s="20">
        <f>SUM(R76:R79)</f>
        <v>94464.302423040004</v>
      </c>
    </row>
    <row r="81" spans="1:18">
      <c r="A81" s="13"/>
      <c r="B81" s="22" t="s">
        <v>71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7"/>
      <c r="P81" s="17"/>
      <c r="Q81" s="17"/>
      <c r="R81" s="18"/>
    </row>
    <row r="82" spans="1:18">
      <c r="A82" s="13">
        <v>11442</v>
      </c>
      <c r="B82" s="21" t="s">
        <v>56</v>
      </c>
      <c r="C82" s="15">
        <v>0.5</v>
      </c>
      <c r="D82" s="15">
        <v>5</v>
      </c>
      <c r="E82" s="15">
        <v>2.16</v>
      </c>
      <c r="F82" s="15">
        <v>1.2</v>
      </c>
      <c r="G82" s="15"/>
      <c r="H82" s="17">
        <f>G1*E82*F82</f>
        <v>9595.5840000000007</v>
      </c>
      <c r="I82" s="15"/>
      <c r="J82" s="17">
        <f>H82*J4</f>
        <v>383.82336000000004</v>
      </c>
      <c r="K82" s="17"/>
      <c r="L82" s="15">
        <f>H82*10%</f>
        <v>959.55840000000012</v>
      </c>
      <c r="M82" s="17"/>
      <c r="N82" s="54">
        <f>(H82+J82+K82+L82+M82)*N$4</f>
        <v>1093.8965760000001</v>
      </c>
      <c r="O82" s="54">
        <f>(H82+J82+K82+L82+M82+N82)*O$4</f>
        <v>8423.0036352000006</v>
      </c>
      <c r="P82" s="54">
        <f>(H82+J82+K82+L82+M82+N82)*P$4</f>
        <v>6016.431168000001</v>
      </c>
      <c r="Q82" s="54">
        <f>(H82+J82+K82+L82+M82+N82+O82+P82)*C82</f>
        <v>13236.148569600002</v>
      </c>
      <c r="R82" s="18">
        <f>Q82*12</f>
        <v>158833.78283520002</v>
      </c>
    </row>
    <row r="83" spans="1:18">
      <c r="A83" s="13"/>
      <c r="B83" s="21" t="s">
        <v>29</v>
      </c>
      <c r="C83" s="15">
        <f>SUM(C82:C82)</f>
        <v>0.5</v>
      </c>
      <c r="D83" s="15"/>
      <c r="E83" s="15"/>
      <c r="F83" s="15"/>
      <c r="G83" s="15"/>
      <c r="H83" s="17"/>
      <c r="I83" s="15"/>
      <c r="J83" s="15"/>
      <c r="K83" s="15"/>
      <c r="L83" s="15"/>
      <c r="M83" s="15"/>
      <c r="N83" s="15"/>
      <c r="O83" s="15"/>
      <c r="P83" s="15"/>
      <c r="Q83" s="17"/>
      <c r="R83" s="18">
        <f>SUM(R82:R82)</f>
        <v>158833.78283520002</v>
      </c>
    </row>
    <row r="84" spans="1:18">
      <c r="A84" s="13"/>
      <c r="B84" s="21" t="s">
        <v>38</v>
      </c>
      <c r="C84" s="19">
        <v>0.1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7"/>
      <c r="R84" s="18"/>
    </row>
    <row r="85" spans="1:18">
      <c r="A85" s="13"/>
      <c r="B85" s="21" t="s">
        <v>40</v>
      </c>
      <c r="C85" s="19">
        <v>0.7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7"/>
      <c r="R85" s="18"/>
    </row>
    <row r="86" spans="1:18">
      <c r="A86" s="13"/>
      <c r="B86" s="21" t="s">
        <v>39</v>
      </c>
      <c r="C86" s="19">
        <v>0.5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7"/>
      <c r="R86" s="18"/>
    </row>
    <row r="87" spans="1:18">
      <c r="A87" s="13"/>
      <c r="B87" s="22" t="s">
        <v>29</v>
      </c>
      <c r="C87" s="14">
        <f>C83</f>
        <v>0.5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7"/>
      <c r="R87" s="20">
        <f>R83+R84+R85+R86</f>
        <v>158833.78283520002</v>
      </c>
    </row>
    <row r="88" spans="1:18">
      <c r="A88" s="13"/>
      <c r="B88" s="22" t="s">
        <v>32</v>
      </c>
      <c r="C88" s="14">
        <f>C87+C80+C74+C66</f>
        <v>10.1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20">
        <f>R87+R80+R74+R66</f>
        <v>2855107.0863215998</v>
      </c>
    </row>
    <row r="89" spans="1:18">
      <c r="A89" s="13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</row>
    <row r="90" spans="1:18">
      <c r="A90" s="24"/>
      <c r="B90" s="50" t="s">
        <v>32</v>
      </c>
      <c r="C90" s="50">
        <f>C55+C88+C23</f>
        <v>27.2</v>
      </c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51">
        <f>+R55+R88</f>
        <v>9528133.0257273614</v>
      </c>
    </row>
    <row r="92" spans="1:18" ht="12.75">
      <c r="B92" s="1" t="s">
        <v>61</v>
      </c>
      <c r="E92" s="35"/>
      <c r="F92" s="35"/>
      <c r="G92" s="35"/>
      <c r="H92" s="35" t="s">
        <v>74</v>
      </c>
      <c r="I92" s="35"/>
      <c r="J92" s="35"/>
      <c r="K92" s="35"/>
    </row>
    <row r="93" spans="1:18" ht="12.75">
      <c r="E93" s="35"/>
      <c r="F93" s="35"/>
      <c r="G93" s="35"/>
      <c r="H93" s="35"/>
      <c r="I93" s="35"/>
      <c r="J93" s="35"/>
      <c r="K93" s="35"/>
    </row>
    <row r="94" spans="1:18" ht="12.75">
      <c r="G94" s="35"/>
      <c r="H94" s="35"/>
      <c r="I94" s="35"/>
      <c r="J94" s="35"/>
      <c r="K94" s="35"/>
    </row>
    <row r="95" spans="1:18" ht="12.75">
      <c r="E95" s="35"/>
      <c r="F95" s="35"/>
      <c r="G95" s="35"/>
      <c r="H95" s="35"/>
      <c r="I95" s="35"/>
      <c r="J95" s="35"/>
      <c r="K95" s="35"/>
    </row>
    <row r="96" spans="1:18" ht="12.75">
      <c r="B96" s="38"/>
      <c r="E96" s="35"/>
      <c r="F96" s="35"/>
      <c r="G96" s="35"/>
      <c r="H96" s="35"/>
      <c r="I96" s="35"/>
      <c r="J96" s="35"/>
      <c r="K96" s="35"/>
    </row>
    <row r="97" spans="1:19" ht="12.75">
      <c r="E97" s="35"/>
      <c r="F97" s="35"/>
    </row>
    <row r="104" spans="1:1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4.25">
      <c r="A107" s="3"/>
      <c r="B107" s="41"/>
      <c r="C107" s="41"/>
      <c r="D107" s="41"/>
      <c r="E107" s="41"/>
      <c r="F107" s="41"/>
      <c r="G107" s="41"/>
      <c r="H107" s="4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>
      <c r="A110" s="3"/>
      <c r="B110" s="102"/>
      <c r="C110" s="102"/>
      <c r="D110" s="102"/>
      <c r="E110" s="10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4"/>
      <c r="R110" s="4"/>
      <c r="S110" s="3"/>
    </row>
    <row r="111" spans="1:19">
      <c r="A111" s="42"/>
      <c r="B111" s="43"/>
      <c r="C111" s="44"/>
      <c r="D111" s="44"/>
      <c r="E111" s="44"/>
      <c r="F111" s="45"/>
      <c r="G111" s="42"/>
      <c r="H111" s="46"/>
      <c r="I111" s="42"/>
      <c r="J111" s="42"/>
      <c r="K111" s="42"/>
      <c r="L111" s="42"/>
      <c r="M111" s="42"/>
      <c r="N111" s="42"/>
      <c r="O111" s="42"/>
      <c r="P111" s="42"/>
      <c r="Q111" s="46"/>
      <c r="R111" s="46"/>
      <c r="S111" s="3"/>
    </row>
    <row r="112" spans="1:19">
      <c r="A112" s="42"/>
      <c r="B112" s="43"/>
      <c r="C112" s="44"/>
      <c r="D112" s="44"/>
      <c r="E112" s="44"/>
      <c r="F112" s="45"/>
      <c r="G112" s="42"/>
      <c r="H112" s="46"/>
      <c r="I112" s="42"/>
      <c r="J112" s="46"/>
      <c r="K112" s="42"/>
      <c r="L112" s="42"/>
      <c r="M112" s="42"/>
      <c r="N112" s="42"/>
      <c r="O112" s="42"/>
      <c r="P112" s="42"/>
      <c r="Q112" s="46"/>
      <c r="R112" s="46"/>
      <c r="S112" s="3"/>
    </row>
    <row r="113" spans="1:19">
      <c r="A113" s="42"/>
      <c r="B113" s="43"/>
      <c r="C113" s="44"/>
      <c r="D113" s="44"/>
      <c r="E113" s="44"/>
      <c r="F113" s="45"/>
      <c r="G113" s="42"/>
      <c r="H113" s="46"/>
      <c r="I113" s="42"/>
      <c r="J113" s="46"/>
      <c r="K113" s="42"/>
      <c r="L113" s="42"/>
      <c r="M113" s="42"/>
      <c r="N113" s="42"/>
      <c r="O113" s="42"/>
      <c r="P113" s="42"/>
      <c r="Q113" s="46"/>
      <c r="R113" s="46"/>
      <c r="S113" s="3"/>
    </row>
    <row r="114" spans="1:19">
      <c r="A114" s="42"/>
      <c r="B114" s="43"/>
      <c r="C114" s="44"/>
      <c r="D114" s="44"/>
      <c r="E114" s="44"/>
      <c r="F114" s="45"/>
      <c r="G114" s="42"/>
      <c r="H114" s="46"/>
      <c r="I114" s="42"/>
      <c r="J114" s="46"/>
      <c r="K114" s="42"/>
      <c r="L114" s="42"/>
      <c r="M114" s="42"/>
      <c r="N114" s="42"/>
      <c r="O114" s="42"/>
      <c r="P114" s="42"/>
      <c r="Q114" s="46"/>
      <c r="R114" s="46"/>
      <c r="S114" s="3"/>
    </row>
    <row r="115" spans="1:19">
      <c r="A115" s="42"/>
      <c r="B115" s="43"/>
      <c r="C115" s="44"/>
      <c r="D115" s="44"/>
      <c r="E115" s="44"/>
      <c r="F115" s="45"/>
      <c r="G115" s="42"/>
      <c r="H115" s="46"/>
      <c r="I115" s="42"/>
      <c r="J115" s="46"/>
      <c r="K115" s="46"/>
      <c r="L115" s="42"/>
      <c r="M115" s="46"/>
      <c r="N115" s="46"/>
      <c r="O115" s="46"/>
      <c r="P115" s="46"/>
      <c r="Q115" s="46"/>
      <c r="R115" s="46"/>
      <c r="S115" s="3"/>
    </row>
    <row r="116" spans="1:19">
      <c r="A116" s="42"/>
      <c r="B116" s="43"/>
      <c r="C116" s="44"/>
      <c r="D116" s="44"/>
      <c r="E116" s="44"/>
      <c r="F116" s="45"/>
      <c r="G116" s="42"/>
      <c r="H116" s="46"/>
      <c r="I116" s="42"/>
      <c r="J116" s="46"/>
      <c r="K116" s="46"/>
      <c r="L116" s="42"/>
      <c r="M116" s="46"/>
      <c r="N116" s="46"/>
      <c r="O116" s="46"/>
      <c r="P116" s="46"/>
      <c r="Q116" s="46"/>
      <c r="R116" s="46"/>
      <c r="S116" s="3"/>
    </row>
    <row r="117" spans="1:19">
      <c r="A117" s="3"/>
      <c r="B117" s="47"/>
      <c r="C117" s="40"/>
      <c r="D117" s="40"/>
      <c r="E117" s="40"/>
      <c r="F117" s="40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4"/>
      <c r="R117" s="4"/>
      <c r="S117" s="3"/>
    </row>
    <row r="118" spans="1:19">
      <c r="A118" s="3"/>
      <c r="B118" s="47"/>
      <c r="C118" s="48"/>
      <c r="D118" s="40"/>
      <c r="E118" s="40"/>
      <c r="F118" s="4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4"/>
      <c r="R118" s="4"/>
      <c r="S118" s="3"/>
    </row>
    <row r="119" spans="1:19">
      <c r="A119" s="3"/>
      <c r="B119" s="47"/>
      <c r="C119" s="48"/>
      <c r="D119" s="40"/>
      <c r="E119" s="40"/>
      <c r="F119" s="40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4"/>
      <c r="R119" s="4"/>
      <c r="S119" s="3"/>
    </row>
    <row r="120" spans="1:19">
      <c r="A120" s="3"/>
      <c r="B120" s="47"/>
      <c r="C120" s="48"/>
      <c r="D120" s="40"/>
      <c r="E120" s="40"/>
      <c r="F120" s="4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4"/>
      <c r="R120" s="4"/>
      <c r="S120" s="3"/>
    </row>
    <row r="121" spans="1:19">
      <c r="A121" s="3"/>
      <c r="B121" s="47"/>
      <c r="C121" s="48"/>
      <c r="D121" s="40"/>
      <c r="E121" s="40"/>
      <c r="F121" s="40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4"/>
      <c r="R121" s="4"/>
      <c r="S121" s="3"/>
    </row>
    <row r="122" spans="1:19">
      <c r="A122" s="3"/>
      <c r="B122" s="47"/>
      <c r="C122" s="48"/>
      <c r="D122" s="40"/>
      <c r="E122" s="40"/>
      <c r="F122" s="40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4"/>
      <c r="R122" s="4"/>
      <c r="S122" s="3"/>
    </row>
    <row r="123" spans="1:19">
      <c r="A123" s="3"/>
      <c r="B123" s="29"/>
      <c r="C123" s="39"/>
      <c r="D123" s="40"/>
      <c r="E123" s="40"/>
      <c r="F123" s="40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4"/>
      <c r="R123" s="36"/>
      <c r="S123" s="3"/>
    </row>
    <row r="124" spans="1:19">
      <c r="A124" s="3"/>
      <c r="B124" s="47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4"/>
      <c r="R124" s="4"/>
      <c r="S124" s="3"/>
    </row>
    <row r="125" spans="1:1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2.75">
      <c r="A129" s="3"/>
      <c r="B129" s="3"/>
      <c r="C129" s="3"/>
      <c r="D129" s="3"/>
      <c r="E129" s="49"/>
      <c r="F129" s="49"/>
      <c r="G129" s="49"/>
      <c r="H129" s="49"/>
      <c r="I129" s="49"/>
      <c r="J129" s="49"/>
      <c r="K129" s="49"/>
      <c r="L129" s="3"/>
      <c r="M129" s="3"/>
      <c r="N129" s="3"/>
      <c r="O129" s="3"/>
      <c r="P129" s="3"/>
      <c r="Q129" s="3"/>
      <c r="R129" s="3"/>
      <c r="S129" s="3"/>
    </row>
    <row r="130" spans="1:19" ht="12.75">
      <c r="A130" s="3"/>
      <c r="B130" s="3"/>
      <c r="C130" s="3"/>
      <c r="D130" s="3"/>
      <c r="E130" s="49"/>
      <c r="F130" s="49"/>
      <c r="G130" s="49"/>
      <c r="H130" s="49"/>
      <c r="I130" s="49"/>
      <c r="J130" s="49"/>
      <c r="K130" s="49"/>
      <c r="L130" s="3"/>
      <c r="M130" s="3"/>
      <c r="N130" s="3"/>
      <c r="O130" s="3"/>
      <c r="P130" s="3"/>
      <c r="Q130" s="3"/>
      <c r="R130" s="3"/>
      <c r="S130" s="3"/>
    </row>
    <row r="131" spans="1:19" ht="12.75">
      <c r="A131" s="3"/>
      <c r="B131" s="3"/>
      <c r="C131" s="3"/>
      <c r="D131" s="3"/>
      <c r="E131" s="49"/>
      <c r="F131" s="49"/>
      <c r="G131" s="49"/>
      <c r="H131" s="49"/>
      <c r="I131" s="49"/>
      <c r="J131" s="49"/>
      <c r="K131" s="49"/>
      <c r="L131" s="3"/>
      <c r="M131" s="3"/>
      <c r="N131" s="3"/>
      <c r="O131" s="3"/>
      <c r="P131" s="3"/>
      <c r="Q131" s="3"/>
      <c r="R131" s="3"/>
      <c r="S131" s="3"/>
    </row>
    <row r="132" spans="1:19" ht="12.75">
      <c r="A132" s="3"/>
      <c r="B132" s="3"/>
      <c r="C132" s="3"/>
      <c r="D132" s="3"/>
      <c r="E132" s="49"/>
      <c r="F132" s="49"/>
      <c r="G132" s="49"/>
      <c r="H132" s="49"/>
      <c r="I132" s="49"/>
      <c r="J132" s="49"/>
      <c r="K132" s="49"/>
      <c r="L132" s="3"/>
      <c r="M132" s="3"/>
      <c r="N132" s="3"/>
      <c r="O132" s="3"/>
      <c r="P132" s="3"/>
      <c r="Q132" s="3"/>
      <c r="R132" s="3"/>
      <c r="S132" s="3"/>
    </row>
    <row r="133" spans="1:19" ht="12.75">
      <c r="A133" s="3"/>
      <c r="B133" s="3"/>
      <c r="C133" s="3"/>
      <c r="D133" s="3"/>
      <c r="E133" s="49"/>
      <c r="F133" s="49"/>
      <c r="G133" s="49"/>
      <c r="H133" s="49"/>
      <c r="I133" s="49"/>
      <c r="J133" s="49"/>
      <c r="K133" s="49"/>
      <c r="L133" s="3"/>
      <c r="M133" s="3"/>
      <c r="N133" s="3"/>
      <c r="O133" s="3"/>
      <c r="P133" s="3"/>
      <c r="Q133" s="3"/>
      <c r="R133" s="3"/>
      <c r="S133" s="3"/>
    </row>
    <row r="134" spans="1:1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</sheetData>
  <mergeCells count="7">
    <mergeCell ref="B110:E110"/>
    <mergeCell ref="B67:E67"/>
    <mergeCell ref="B34:E34"/>
    <mergeCell ref="O2:O3"/>
    <mergeCell ref="P2:P3"/>
    <mergeCell ref="N2:N3"/>
    <mergeCell ref="A56:K56"/>
  </mergeCells>
  <phoneticPr fontId="5" type="noConversion"/>
  <pageMargins left="0.59055118110236227" right="0.39370078740157483" top="0.78740157480314965" bottom="0.59055118110236227" header="0.19685039370078741" footer="0.19685039370078741"/>
  <pageSetup paperSize="9" scale="96" orientation="landscape" r:id="rId1"/>
  <headerFooter alignWithMargins="0"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T134"/>
  <sheetViews>
    <sheetView zoomScaleNormal="100" workbookViewId="0">
      <pane ySplit="4" topLeftCell="A5" activePane="bottomLeft" state="frozen"/>
      <selection pane="bottomLeft" activeCell="H1" sqref="H1"/>
    </sheetView>
  </sheetViews>
  <sheetFormatPr defaultRowHeight="12"/>
  <cols>
    <col min="1" max="1" width="6.42578125" style="1" customWidth="1"/>
    <col min="2" max="2" width="25.7109375" style="1" customWidth="1"/>
    <col min="3" max="3" width="7.7109375" style="1" customWidth="1"/>
    <col min="4" max="4" width="5.28515625" style="1" customWidth="1"/>
    <col min="5" max="5" width="7.7109375" style="1" customWidth="1"/>
    <col min="6" max="6" width="8.140625" style="1" customWidth="1"/>
    <col min="7" max="7" width="7.28515625" style="1" hidden="1" customWidth="1"/>
    <col min="8" max="8" width="9.7109375" style="1" customWidth="1"/>
    <col min="9" max="9" width="0" style="1" hidden="1" customWidth="1"/>
    <col min="10" max="11" width="7.7109375" style="1" customWidth="1"/>
    <col min="12" max="12" width="6.42578125" style="1" customWidth="1"/>
    <col min="13" max="16" width="7.7109375" style="1" customWidth="1"/>
    <col min="17" max="17" width="9.85546875" style="1" customWidth="1"/>
    <col min="18" max="18" width="11" style="1" customWidth="1"/>
    <col min="19" max="19" width="10.85546875" style="1" bestFit="1" customWidth="1"/>
    <col min="20" max="16384" width="9.140625" style="1"/>
  </cols>
  <sheetData>
    <row r="1" spans="1:18">
      <c r="C1" s="2" t="s">
        <v>28</v>
      </c>
      <c r="D1" s="2"/>
      <c r="E1" s="2"/>
      <c r="F1" s="2"/>
      <c r="G1" s="2">
        <v>3702</v>
      </c>
      <c r="H1" s="2">
        <v>3876</v>
      </c>
    </row>
    <row r="2" spans="1:18">
      <c r="A2" s="61" t="s">
        <v>9</v>
      </c>
      <c r="B2" s="61" t="s">
        <v>8</v>
      </c>
      <c r="C2" s="61" t="s">
        <v>11</v>
      </c>
      <c r="D2" s="61" t="s">
        <v>2</v>
      </c>
      <c r="E2" s="61" t="s">
        <v>57</v>
      </c>
      <c r="F2" s="61" t="s">
        <v>13</v>
      </c>
      <c r="G2" s="61" t="s">
        <v>26</v>
      </c>
      <c r="H2" s="61" t="s">
        <v>16</v>
      </c>
      <c r="I2" s="61" t="s">
        <v>18</v>
      </c>
      <c r="J2" s="61" t="s">
        <v>4</v>
      </c>
      <c r="K2" s="61" t="s">
        <v>19</v>
      </c>
      <c r="L2" s="61" t="s">
        <v>21</v>
      </c>
      <c r="M2" s="61" t="s">
        <v>22</v>
      </c>
      <c r="N2" s="104" t="s">
        <v>83</v>
      </c>
      <c r="O2" s="104" t="s">
        <v>81</v>
      </c>
      <c r="P2" s="104" t="s">
        <v>82</v>
      </c>
      <c r="Q2" s="61" t="s">
        <v>16</v>
      </c>
      <c r="R2" s="61" t="s">
        <v>24</v>
      </c>
    </row>
    <row r="3" spans="1:18">
      <c r="A3" s="62" t="s">
        <v>10</v>
      </c>
      <c r="B3" s="62"/>
      <c r="C3" s="62" t="s">
        <v>5</v>
      </c>
      <c r="D3" s="62" t="s">
        <v>3</v>
      </c>
      <c r="E3" s="62" t="s">
        <v>12</v>
      </c>
      <c r="F3" s="62" t="s">
        <v>14</v>
      </c>
      <c r="G3" s="62" t="s">
        <v>15</v>
      </c>
      <c r="H3" s="62" t="s">
        <v>17</v>
      </c>
      <c r="I3" s="62"/>
      <c r="J3" s="62" t="s">
        <v>5</v>
      </c>
      <c r="K3" s="62" t="s">
        <v>20</v>
      </c>
      <c r="L3" s="62" t="s">
        <v>5</v>
      </c>
      <c r="M3" s="62"/>
      <c r="N3" s="105"/>
      <c r="O3" s="105"/>
      <c r="P3" s="105"/>
      <c r="Q3" s="62" t="s">
        <v>23</v>
      </c>
      <c r="R3" s="62" t="s">
        <v>23</v>
      </c>
    </row>
    <row r="4" spans="1:18">
      <c r="A4" s="8"/>
      <c r="B4" s="9"/>
      <c r="C4" s="9"/>
      <c r="D4" s="9"/>
      <c r="E4" s="9"/>
      <c r="F4" s="9"/>
      <c r="G4" s="9"/>
      <c r="H4" s="9"/>
      <c r="I4" s="9" t="s">
        <v>25</v>
      </c>
      <c r="J4" s="10">
        <v>0.04</v>
      </c>
      <c r="K4" s="11">
        <v>0.03</v>
      </c>
      <c r="L4" s="9"/>
      <c r="M4" s="11">
        <v>0.13300000000000001</v>
      </c>
      <c r="N4" s="11">
        <v>0.1</v>
      </c>
      <c r="O4" s="11">
        <v>0.7</v>
      </c>
      <c r="P4" s="11">
        <v>0.5</v>
      </c>
      <c r="Q4" s="9"/>
      <c r="R4" s="12"/>
    </row>
    <row r="5" spans="1:18">
      <c r="A5" s="8"/>
      <c r="B5" s="26" t="s">
        <v>27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27"/>
      <c r="R5" s="28"/>
    </row>
    <row r="6" spans="1:18">
      <c r="A6" s="52">
        <v>21593</v>
      </c>
      <c r="B6" s="56" t="s">
        <v>61</v>
      </c>
      <c r="C6" s="53">
        <v>1</v>
      </c>
      <c r="D6" s="53">
        <v>14</v>
      </c>
      <c r="E6" s="54">
        <v>6.51</v>
      </c>
      <c r="F6" s="53">
        <v>1.2</v>
      </c>
      <c r="G6" s="53"/>
      <c r="H6" s="17">
        <f t="shared" ref="H6:H9" si="0">H$1*E6*F6</f>
        <v>30279.311999999998</v>
      </c>
      <c r="I6" s="53"/>
      <c r="J6" s="53"/>
      <c r="K6" s="53"/>
      <c r="L6" s="53"/>
      <c r="M6" s="53"/>
      <c r="N6" s="54">
        <f>(H6+J6+K6+L6+M6)*N$4</f>
        <v>3027.9312</v>
      </c>
      <c r="O6" s="53">
        <f>(H6+J6+K6+L6+M6+N6)*O$4</f>
        <v>23315.070239999997</v>
      </c>
      <c r="P6" s="53">
        <f>(H6+J6+K6+L6+M6+N6)*P$4</f>
        <v>16653.621599999999</v>
      </c>
      <c r="Q6" s="54">
        <f>(H6+J6+K6+L6+M6+N6+O6+P6)*C6</f>
        <v>73275.935039999997</v>
      </c>
      <c r="R6" s="55">
        <f>Q6*12</f>
        <v>879311.2204799999</v>
      </c>
    </row>
    <row r="7" spans="1:18">
      <c r="A7" s="13">
        <v>27931</v>
      </c>
      <c r="B7" s="56" t="s">
        <v>73</v>
      </c>
      <c r="C7" s="53">
        <v>0.3</v>
      </c>
      <c r="D7" s="53">
        <v>12</v>
      </c>
      <c r="E7" s="53">
        <v>5.0999999999999996</v>
      </c>
      <c r="F7" s="53">
        <v>1.2</v>
      </c>
      <c r="G7" s="53"/>
      <c r="H7" s="17">
        <f t="shared" si="0"/>
        <v>23721.119999999999</v>
      </c>
      <c r="I7" s="53"/>
      <c r="J7" s="53"/>
      <c r="K7" s="53"/>
      <c r="L7" s="53"/>
      <c r="M7" s="53"/>
      <c r="N7" s="54">
        <f t="shared" ref="N7:N18" si="1">(H7+J7+K7+L7+M7)*N$4</f>
        <v>2372.1120000000001</v>
      </c>
      <c r="O7" s="53">
        <f t="shared" ref="O7:O18" si="2">(H7+J7+K7+L7+M7+N7)*O$4</f>
        <v>18265.2624</v>
      </c>
      <c r="P7" s="53">
        <f t="shared" ref="P7:P18" si="3">(H7+J7+K7+L7+M7+N7)*P$4</f>
        <v>13046.616</v>
      </c>
      <c r="Q7" s="54">
        <f t="shared" ref="Q7:Q18" si="4">(H7+J7+K7+L7+M7+N7+O7+P7)*C7</f>
        <v>17221.53312</v>
      </c>
      <c r="R7" s="55">
        <f t="shared" ref="R7:R18" si="5">Q7*12</f>
        <v>206658.39744</v>
      </c>
    </row>
    <row r="8" spans="1:18">
      <c r="A8" s="52">
        <v>20656</v>
      </c>
      <c r="B8" s="56" t="s">
        <v>64</v>
      </c>
      <c r="C8" s="53">
        <v>1</v>
      </c>
      <c r="D8" s="15">
        <v>12</v>
      </c>
      <c r="E8" s="15">
        <v>5.0999999999999996</v>
      </c>
      <c r="F8" s="15">
        <v>1.2</v>
      </c>
      <c r="G8" s="53"/>
      <c r="H8" s="17">
        <f t="shared" si="0"/>
        <v>23721.119999999999</v>
      </c>
      <c r="I8" s="53"/>
      <c r="J8" s="53"/>
      <c r="K8" s="53"/>
      <c r="L8" s="53"/>
      <c r="M8" s="53"/>
      <c r="N8" s="54">
        <f t="shared" si="1"/>
        <v>2372.1120000000001</v>
      </c>
      <c r="O8" s="53">
        <f t="shared" si="2"/>
        <v>18265.2624</v>
      </c>
      <c r="P8" s="53">
        <f t="shared" si="3"/>
        <v>13046.616</v>
      </c>
      <c r="Q8" s="54">
        <f t="shared" si="4"/>
        <v>57405.110399999998</v>
      </c>
      <c r="R8" s="55">
        <f t="shared" si="5"/>
        <v>688861.32479999994</v>
      </c>
    </row>
    <row r="9" spans="1:18">
      <c r="A9" s="52"/>
      <c r="B9" s="56" t="s">
        <v>76</v>
      </c>
      <c r="C9" s="53">
        <v>0.5</v>
      </c>
      <c r="D9" s="53">
        <v>9</v>
      </c>
      <c r="E9" s="53">
        <v>3.53</v>
      </c>
      <c r="F9" s="53">
        <v>1.2</v>
      </c>
      <c r="G9" s="53"/>
      <c r="H9" s="17">
        <f t="shared" si="0"/>
        <v>16418.735999999997</v>
      </c>
      <c r="I9" s="53"/>
      <c r="J9" s="53"/>
      <c r="K9" s="53"/>
      <c r="L9" s="53"/>
      <c r="M9" s="53"/>
      <c r="N9" s="54">
        <f t="shared" si="1"/>
        <v>1641.8735999999999</v>
      </c>
      <c r="O9" s="53">
        <f t="shared" si="2"/>
        <v>12642.426719999996</v>
      </c>
      <c r="P9" s="53">
        <f t="shared" si="3"/>
        <v>9030.3047999999981</v>
      </c>
      <c r="Q9" s="54">
        <f t="shared" si="4"/>
        <v>19866.670559999995</v>
      </c>
      <c r="R9" s="55">
        <f t="shared" si="5"/>
        <v>238400.04671999993</v>
      </c>
    </row>
    <row r="10" spans="1:18">
      <c r="A10" s="13">
        <v>27728</v>
      </c>
      <c r="B10" s="56" t="s">
        <v>60</v>
      </c>
      <c r="C10" s="53">
        <v>0.5</v>
      </c>
      <c r="D10" s="53">
        <v>12</v>
      </c>
      <c r="E10" s="53">
        <v>5.0999999999999996</v>
      </c>
      <c r="F10" s="53">
        <v>1.2</v>
      </c>
      <c r="G10" s="53"/>
      <c r="H10" s="17">
        <f>H$1*E10*F10</f>
        <v>23721.119999999999</v>
      </c>
      <c r="I10" s="53"/>
      <c r="J10" s="53"/>
      <c r="K10" s="53"/>
      <c r="L10" s="53"/>
      <c r="M10" s="53"/>
      <c r="N10" s="54">
        <f t="shared" si="1"/>
        <v>2372.1120000000001</v>
      </c>
      <c r="O10" s="53">
        <f t="shared" si="2"/>
        <v>18265.2624</v>
      </c>
      <c r="P10" s="53">
        <f t="shared" si="3"/>
        <v>13046.616</v>
      </c>
      <c r="Q10" s="54">
        <f t="shared" si="4"/>
        <v>28702.555199999999</v>
      </c>
      <c r="R10" s="55">
        <f t="shared" si="5"/>
        <v>344430.66239999997</v>
      </c>
    </row>
    <row r="11" spans="1:18">
      <c r="A11" s="13">
        <v>26583</v>
      </c>
      <c r="B11" s="56" t="s">
        <v>65</v>
      </c>
      <c r="C11" s="53">
        <v>0.2</v>
      </c>
      <c r="D11" s="53">
        <v>6</v>
      </c>
      <c r="E11" s="53">
        <v>2.44</v>
      </c>
      <c r="F11" s="53">
        <v>1.2</v>
      </c>
      <c r="G11" s="53"/>
      <c r="H11" s="17">
        <f t="shared" ref="H11:H18" si="6">H$1*E11*F11</f>
        <v>11348.928</v>
      </c>
      <c r="I11" s="53"/>
      <c r="J11" s="53"/>
      <c r="K11" s="53"/>
      <c r="L11" s="53"/>
      <c r="M11" s="53"/>
      <c r="N11" s="54">
        <f t="shared" si="1"/>
        <v>1134.8928000000001</v>
      </c>
      <c r="O11" s="53">
        <f t="shared" si="2"/>
        <v>8738.6745599999995</v>
      </c>
      <c r="P11" s="53">
        <f t="shared" si="3"/>
        <v>6241.9103999999998</v>
      </c>
      <c r="Q11" s="54">
        <f t="shared" si="4"/>
        <v>5492.8811520000008</v>
      </c>
      <c r="R11" s="55">
        <f t="shared" si="5"/>
        <v>65914.573824000006</v>
      </c>
    </row>
    <row r="12" spans="1:18">
      <c r="A12" s="13">
        <v>22659</v>
      </c>
      <c r="B12" s="56" t="s">
        <v>66</v>
      </c>
      <c r="C12" s="53">
        <v>0.2</v>
      </c>
      <c r="D12" s="53">
        <v>9</v>
      </c>
      <c r="E12" s="53">
        <v>3.53</v>
      </c>
      <c r="F12" s="53">
        <v>1.2</v>
      </c>
      <c r="G12" s="53"/>
      <c r="H12" s="17">
        <f t="shared" si="6"/>
        <v>16418.735999999997</v>
      </c>
      <c r="I12" s="53"/>
      <c r="J12" s="53"/>
      <c r="K12" s="53"/>
      <c r="L12" s="53"/>
      <c r="M12" s="53"/>
      <c r="N12" s="54">
        <f t="shared" si="1"/>
        <v>1641.8735999999999</v>
      </c>
      <c r="O12" s="53">
        <f t="shared" si="2"/>
        <v>12642.426719999996</v>
      </c>
      <c r="P12" s="53">
        <f t="shared" si="3"/>
        <v>9030.3047999999981</v>
      </c>
      <c r="Q12" s="54">
        <f t="shared" si="4"/>
        <v>7946.6682239999982</v>
      </c>
      <c r="R12" s="55">
        <f t="shared" si="5"/>
        <v>95360.018687999982</v>
      </c>
    </row>
    <row r="13" spans="1:18">
      <c r="A13" s="13">
        <v>27931</v>
      </c>
      <c r="B13" s="56" t="s">
        <v>77</v>
      </c>
      <c r="C13" s="53">
        <v>0.3</v>
      </c>
      <c r="D13" s="53">
        <v>9</v>
      </c>
      <c r="E13" s="53">
        <v>3.53</v>
      </c>
      <c r="F13" s="53">
        <v>1.2</v>
      </c>
      <c r="G13" s="53"/>
      <c r="H13" s="17">
        <f t="shared" si="6"/>
        <v>16418.735999999997</v>
      </c>
      <c r="I13" s="53"/>
      <c r="J13" s="53"/>
      <c r="K13" s="53"/>
      <c r="L13" s="53"/>
      <c r="M13" s="53"/>
      <c r="N13" s="54">
        <f t="shared" si="1"/>
        <v>1641.8735999999999</v>
      </c>
      <c r="O13" s="53">
        <f t="shared" si="2"/>
        <v>12642.426719999996</v>
      </c>
      <c r="P13" s="53">
        <f t="shared" si="3"/>
        <v>9030.3047999999981</v>
      </c>
      <c r="Q13" s="54">
        <f t="shared" si="4"/>
        <v>11920.002335999996</v>
      </c>
      <c r="R13" s="55">
        <f t="shared" si="5"/>
        <v>143040.02803199994</v>
      </c>
    </row>
    <row r="14" spans="1:18">
      <c r="A14" s="13"/>
      <c r="B14" s="56" t="s">
        <v>78</v>
      </c>
      <c r="C14" s="53">
        <v>0.3</v>
      </c>
      <c r="D14" s="53">
        <v>9</v>
      </c>
      <c r="E14" s="53">
        <v>3.53</v>
      </c>
      <c r="F14" s="53">
        <v>1.2</v>
      </c>
      <c r="G14" s="53"/>
      <c r="H14" s="17">
        <f t="shared" si="6"/>
        <v>16418.735999999997</v>
      </c>
      <c r="I14" s="53"/>
      <c r="J14" s="53"/>
      <c r="K14" s="53"/>
      <c r="L14" s="53"/>
      <c r="M14" s="53"/>
      <c r="N14" s="54">
        <f t="shared" si="1"/>
        <v>1641.8735999999999</v>
      </c>
      <c r="O14" s="53">
        <f t="shared" si="2"/>
        <v>12642.426719999996</v>
      </c>
      <c r="P14" s="53">
        <f t="shared" si="3"/>
        <v>9030.3047999999981</v>
      </c>
      <c r="Q14" s="54">
        <f t="shared" si="4"/>
        <v>11920.002335999996</v>
      </c>
      <c r="R14" s="55">
        <f t="shared" si="5"/>
        <v>143040.02803199994</v>
      </c>
    </row>
    <row r="15" spans="1:18">
      <c r="A15" s="13">
        <v>21792</v>
      </c>
      <c r="B15" s="56" t="s">
        <v>67</v>
      </c>
      <c r="C15" s="53">
        <v>0.25</v>
      </c>
      <c r="D15" s="53">
        <v>3</v>
      </c>
      <c r="E15" s="15">
        <v>1.69</v>
      </c>
      <c r="F15" s="15">
        <v>1.2</v>
      </c>
      <c r="G15" s="53"/>
      <c r="H15" s="17">
        <f t="shared" si="6"/>
        <v>7860.5279999999993</v>
      </c>
      <c r="I15" s="53"/>
      <c r="J15" s="53"/>
      <c r="K15" s="53"/>
      <c r="L15" s="53"/>
      <c r="M15" s="53"/>
      <c r="N15" s="54">
        <f t="shared" si="1"/>
        <v>786.05279999999993</v>
      </c>
      <c r="O15" s="53">
        <f t="shared" si="2"/>
        <v>6052.6065599999993</v>
      </c>
      <c r="P15" s="53">
        <f t="shared" si="3"/>
        <v>4323.2903999999999</v>
      </c>
      <c r="Q15" s="54">
        <f t="shared" si="4"/>
        <v>4755.6194400000004</v>
      </c>
      <c r="R15" s="55">
        <f t="shared" si="5"/>
        <v>57067.433280000005</v>
      </c>
    </row>
    <row r="16" spans="1:18">
      <c r="A16" s="52"/>
      <c r="B16" s="56" t="s">
        <v>80</v>
      </c>
      <c r="C16" s="53">
        <v>0.5</v>
      </c>
      <c r="D16" s="53">
        <v>5</v>
      </c>
      <c r="E16" s="53">
        <v>2.16</v>
      </c>
      <c r="F16" s="53">
        <v>1.2</v>
      </c>
      <c r="G16" s="53"/>
      <c r="H16" s="17">
        <f t="shared" si="6"/>
        <v>10046.591999999999</v>
      </c>
      <c r="I16" s="53"/>
      <c r="J16" s="53"/>
      <c r="K16" s="53"/>
      <c r="L16" s="53"/>
      <c r="M16" s="53"/>
      <c r="N16" s="54">
        <f t="shared" si="1"/>
        <v>1004.6591999999999</v>
      </c>
      <c r="O16" s="53">
        <f t="shared" si="2"/>
        <v>7735.8758399999988</v>
      </c>
      <c r="P16" s="53">
        <f t="shared" si="3"/>
        <v>5525.6255999999994</v>
      </c>
      <c r="Q16" s="54">
        <f t="shared" si="4"/>
        <v>12156.376319999999</v>
      </c>
      <c r="R16" s="55">
        <f t="shared" si="5"/>
        <v>145876.51584000001</v>
      </c>
    </row>
    <row r="17" spans="1:20">
      <c r="A17" s="13">
        <v>23998</v>
      </c>
      <c r="B17" s="21" t="s">
        <v>6</v>
      </c>
      <c r="C17" s="15">
        <v>2</v>
      </c>
      <c r="D17" s="15">
        <v>10</v>
      </c>
      <c r="E17" s="15">
        <v>3.99</v>
      </c>
      <c r="F17" s="15">
        <v>1.2</v>
      </c>
      <c r="G17" s="15"/>
      <c r="H17" s="17">
        <f t="shared" si="6"/>
        <v>18558.288</v>
      </c>
      <c r="I17" s="15"/>
      <c r="J17" s="15"/>
      <c r="K17" s="15"/>
      <c r="L17" s="15"/>
      <c r="M17" s="15"/>
      <c r="N17" s="54">
        <f t="shared" si="1"/>
        <v>1855.8288000000002</v>
      </c>
      <c r="O17" s="53">
        <f t="shared" si="2"/>
        <v>14289.881759999998</v>
      </c>
      <c r="P17" s="53">
        <f t="shared" si="3"/>
        <v>10207.0584</v>
      </c>
      <c r="Q17" s="54">
        <f t="shared" si="4"/>
        <v>89822.113920000003</v>
      </c>
      <c r="R17" s="55">
        <f t="shared" si="5"/>
        <v>1077865.3670399999</v>
      </c>
    </row>
    <row r="18" spans="1:20">
      <c r="A18" s="13">
        <v>19258</v>
      </c>
      <c r="B18" s="21" t="s">
        <v>72</v>
      </c>
      <c r="C18" s="15">
        <v>0.25</v>
      </c>
      <c r="D18" s="15">
        <v>1</v>
      </c>
      <c r="E18" s="15">
        <v>1</v>
      </c>
      <c r="F18" s="15">
        <v>1.2</v>
      </c>
      <c r="G18" s="15"/>
      <c r="H18" s="17">
        <f t="shared" si="6"/>
        <v>4651.2</v>
      </c>
      <c r="I18" s="15"/>
      <c r="J18" s="15"/>
      <c r="K18" s="15"/>
      <c r="L18" s="15"/>
      <c r="M18" s="15"/>
      <c r="N18" s="54">
        <f t="shared" si="1"/>
        <v>465.12</v>
      </c>
      <c r="O18" s="53">
        <f t="shared" si="2"/>
        <v>3581.4239999999995</v>
      </c>
      <c r="P18" s="53">
        <f t="shared" si="3"/>
        <v>2558.16</v>
      </c>
      <c r="Q18" s="54">
        <f t="shared" si="4"/>
        <v>2813.9759999999997</v>
      </c>
      <c r="R18" s="55">
        <f t="shared" si="5"/>
        <v>33767.712</v>
      </c>
    </row>
    <row r="19" spans="1:20">
      <c r="A19" s="13"/>
      <c r="B19" s="21" t="s">
        <v>29</v>
      </c>
      <c r="C19" s="15">
        <f>SUM(C6:C18)</f>
        <v>7.3</v>
      </c>
      <c r="D19" s="15"/>
      <c r="E19" s="15"/>
      <c r="F19" s="15"/>
      <c r="G19" s="15"/>
      <c r="H19" s="17">
        <f>(H17*C17)+H6*C6+H7*C7+H16*C16+H8*C8+H9*C9+H10*C10+H11*C11+H12*C12+H13*C13+H14*C14+H15*C15+H18*C18</f>
        <v>141859.27439999999</v>
      </c>
      <c r="I19" s="15"/>
      <c r="J19" s="15"/>
      <c r="K19" s="15"/>
      <c r="L19" s="15"/>
      <c r="M19" s="15"/>
      <c r="N19" s="15"/>
      <c r="O19" s="15"/>
      <c r="P19" s="15"/>
      <c r="Q19" s="17"/>
      <c r="R19" s="18">
        <f>SUM(R6:R18)</f>
        <v>4119593.328575999</v>
      </c>
    </row>
    <row r="20" spans="1:20">
      <c r="A20" s="13"/>
      <c r="B20" s="21" t="s">
        <v>38</v>
      </c>
      <c r="C20" s="19">
        <v>0.1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7"/>
      <c r="R20" s="18"/>
    </row>
    <row r="21" spans="1:20">
      <c r="A21" s="13"/>
      <c r="B21" s="21" t="s">
        <v>40</v>
      </c>
      <c r="C21" s="19">
        <v>0.7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7"/>
      <c r="R21" s="18"/>
    </row>
    <row r="22" spans="1:20">
      <c r="A22" s="13"/>
      <c r="B22" s="21" t="s">
        <v>39</v>
      </c>
      <c r="C22" s="19">
        <v>0.5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7"/>
      <c r="R22" s="18"/>
    </row>
    <row r="23" spans="1:20">
      <c r="A23" s="13"/>
      <c r="B23" s="22" t="s">
        <v>29</v>
      </c>
      <c r="C23" s="14">
        <f>C19</f>
        <v>7.3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7"/>
      <c r="R23" s="20">
        <f>SUM(R19:R22)</f>
        <v>4119593.328575999</v>
      </c>
    </row>
    <row r="24" spans="1:20" ht="24">
      <c r="A24" s="13"/>
      <c r="B24" s="22" t="s">
        <v>63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/>
      <c r="R24" s="18"/>
    </row>
    <row r="25" spans="1:20">
      <c r="A25" s="13">
        <v>15643</v>
      </c>
      <c r="B25" s="21" t="s">
        <v>1</v>
      </c>
      <c r="C25" s="15">
        <v>4.5</v>
      </c>
      <c r="D25" s="15">
        <v>4</v>
      </c>
      <c r="E25" s="15">
        <v>1.91</v>
      </c>
      <c r="F25" s="15">
        <v>1.2</v>
      </c>
      <c r="G25" s="15"/>
      <c r="H25" s="17">
        <f t="shared" ref="H25:H28" si="7">H$1*E25*F25</f>
        <v>8883.7919999999995</v>
      </c>
      <c r="I25" s="17"/>
      <c r="J25" s="17">
        <f>H25*J4</f>
        <v>355.35167999999999</v>
      </c>
      <c r="K25" s="17">
        <f>H25*K4</f>
        <v>266.51375999999999</v>
      </c>
      <c r="L25" s="15"/>
      <c r="M25" s="17">
        <f>H25*0.133</f>
        <v>1181.5443359999999</v>
      </c>
      <c r="N25" s="54">
        <f>(H25+J25+K25+L25+M25)*N$4</f>
        <v>1068.7201775999999</v>
      </c>
      <c r="O25" s="53">
        <f>(H25+J25+K25+L25+M25+N25)*O$4</f>
        <v>8229.1453675199991</v>
      </c>
      <c r="P25" s="53">
        <f>(H25+J25+K25+L25+M25+N25)*P$4</f>
        <v>5877.9609767999991</v>
      </c>
      <c r="Q25" s="54">
        <f>(H25+J25+K25+L25+M25+N25+O25+P25)*C25</f>
        <v>116383.62734064</v>
      </c>
      <c r="R25" s="18">
        <f>Q25*12</f>
        <v>1396603.52808768</v>
      </c>
    </row>
    <row r="26" spans="1:20" ht="24">
      <c r="A26" s="13">
        <v>18531</v>
      </c>
      <c r="B26" s="21" t="s">
        <v>33</v>
      </c>
      <c r="C26" s="15">
        <v>2</v>
      </c>
      <c r="D26" s="15">
        <v>3</v>
      </c>
      <c r="E26" s="15">
        <v>1.69</v>
      </c>
      <c r="F26" s="15">
        <v>1.2</v>
      </c>
      <c r="G26" s="15"/>
      <c r="H26" s="17">
        <f t="shared" si="7"/>
        <v>7860.5279999999993</v>
      </c>
      <c r="I26" s="15"/>
      <c r="J26" s="17">
        <f>H26*J4</f>
        <v>314.42111999999997</v>
      </c>
      <c r="K26" s="15"/>
      <c r="L26" s="15"/>
      <c r="M26" s="15"/>
      <c r="N26" s="54">
        <f>(H26+J26+K26+L26+M26)*N$4</f>
        <v>817.494912</v>
      </c>
      <c r="O26" s="53">
        <f>(H26+J26+K26+L26+M26+N26)*O$4</f>
        <v>6294.7108223999994</v>
      </c>
      <c r="P26" s="53">
        <f>(H26+J26+K26+L26+M26+N26)*P$4</f>
        <v>4496.2220159999997</v>
      </c>
      <c r="Q26" s="54">
        <f>(H26+J26+K26+L26+M26+N26+O26+P26)*C26</f>
        <v>39566.753740799999</v>
      </c>
      <c r="R26" s="18">
        <f t="shared" ref="R26:R28" si="8">Q26*12</f>
        <v>474801.04488960002</v>
      </c>
    </row>
    <row r="27" spans="1:20">
      <c r="A27" s="13">
        <v>19906</v>
      </c>
      <c r="B27" s="21" t="s">
        <v>30</v>
      </c>
      <c r="C27" s="15">
        <v>1</v>
      </c>
      <c r="D27" s="15">
        <v>5</v>
      </c>
      <c r="E27" s="15">
        <v>2.16</v>
      </c>
      <c r="F27" s="15">
        <v>1.2</v>
      </c>
      <c r="G27" s="15"/>
      <c r="H27" s="17">
        <f t="shared" si="7"/>
        <v>10046.591999999999</v>
      </c>
      <c r="I27" s="15"/>
      <c r="J27" s="17">
        <f>H27*J4</f>
        <v>401.86367999999993</v>
      </c>
      <c r="K27" s="15"/>
      <c r="L27" s="15"/>
      <c r="M27" s="15"/>
      <c r="N27" s="54">
        <f>(H27+J27+K27+L27+M27)*N$4</f>
        <v>1044.845568</v>
      </c>
      <c r="O27" s="53">
        <f>(H27+J27+K27+L27+M27+N27)*O$4</f>
        <v>8045.3108735999995</v>
      </c>
      <c r="P27" s="53">
        <f>(H27+J27+K27+L27+M27+N27)*P$4</f>
        <v>5746.6506239999999</v>
      </c>
      <c r="Q27" s="54">
        <f>(H27+J27+K27+L27+M27+N27+O27+P27)*C27</f>
        <v>25285.262745599997</v>
      </c>
      <c r="R27" s="18">
        <f t="shared" si="8"/>
        <v>303423.1529472</v>
      </c>
    </row>
    <row r="28" spans="1:20">
      <c r="A28" s="13">
        <v>19861</v>
      </c>
      <c r="B28" s="21" t="s">
        <v>79</v>
      </c>
      <c r="C28" s="15">
        <v>0.5</v>
      </c>
      <c r="D28" s="15">
        <v>7</v>
      </c>
      <c r="E28" s="15">
        <v>2.76</v>
      </c>
      <c r="F28" s="15">
        <v>1.2</v>
      </c>
      <c r="G28" s="15"/>
      <c r="H28" s="17">
        <f t="shared" si="7"/>
        <v>12837.311999999998</v>
      </c>
      <c r="I28" s="15"/>
      <c r="J28" s="17">
        <f>H28*J4</f>
        <v>513.49247999999989</v>
      </c>
      <c r="K28" s="15"/>
      <c r="L28" s="15"/>
      <c r="M28" s="15"/>
      <c r="N28" s="54">
        <f>(H28+J28+K28+L28+M28)*N$4</f>
        <v>1335.0804479999999</v>
      </c>
      <c r="O28" s="53">
        <f>(H28+J28+K28+L28+M28+N28)*O$4</f>
        <v>10280.119449599999</v>
      </c>
      <c r="P28" s="53">
        <f>(H28+J28+K28+L28+M28+N28)*P$4</f>
        <v>7342.9424639999997</v>
      </c>
      <c r="Q28" s="54">
        <f>(H28+J28+K28+L28+M28+N28+O28+P28)*C28</f>
        <v>16154.473420799999</v>
      </c>
      <c r="R28" s="18">
        <f t="shared" si="8"/>
        <v>193853.68104959998</v>
      </c>
    </row>
    <row r="29" spans="1:20">
      <c r="A29" s="13"/>
      <c r="B29" s="21" t="s">
        <v>29</v>
      </c>
      <c r="C29" s="15">
        <f>SUM(C25:C28)</f>
        <v>8</v>
      </c>
      <c r="D29" s="15"/>
      <c r="E29" s="15"/>
      <c r="F29" s="15"/>
      <c r="G29" s="15"/>
      <c r="H29" s="17">
        <f>(H25*C25)+C26*H26+H27*C27+C28*H28</f>
        <v>72163.368000000002</v>
      </c>
      <c r="I29" s="15"/>
      <c r="J29" s="15"/>
      <c r="K29" s="15"/>
      <c r="L29" s="15"/>
      <c r="M29" s="15"/>
      <c r="N29" s="15"/>
      <c r="O29" s="15"/>
      <c r="P29" s="15"/>
      <c r="Q29" s="17"/>
      <c r="R29" s="18">
        <f>SUM(R25:R28)</f>
        <v>2368681.4069740796</v>
      </c>
      <c r="S29" s="7"/>
    </row>
    <row r="30" spans="1:20">
      <c r="A30" s="13"/>
      <c r="B30" s="21" t="s">
        <v>38</v>
      </c>
      <c r="C30" s="19">
        <v>0.1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7"/>
      <c r="R30" s="18"/>
      <c r="S30" s="7"/>
    </row>
    <row r="31" spans="1:20">
      <c r="A31" s="13"/>
      <c r="B31" s="21" t="s">
        <v>40</v>
      </c>
      <c r="C31" s="19">
        <v>0.7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7"/>
      <c r="R31" s="18"/>
      <c r="S31" s="7"/>
      <c r="T31" s="7"/>
    </row>
    <row r="32" spans="1:20">
      <c r="A32" s="13"/>
      <c r="B32" s="21" t="s">
        <v>39</v>
      </c>
      <c r="C32" s="19">
        <v>0.5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7"/>
      <c r="R32" s="18"/>
      <c r="S32" s="7"/>
      <c r="T32" s="7"/>
    </row>
    <row r="33" spans="1:18">
      <c r="A33" s="13"/>
      <c r="B33" s="22" t="s">
        <v>29</v>
      </c>
      <c r="C33" s="14">
        <f>C29</f>
        <v>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7"/>
      <c r="R33" s="20">
        <f>R29+R30+R31+R32</f>
        <v>2368681.4069740796</v>
      </c>
    </row>
    <row r="34" spans="1:18">
      <c r="A34" s="13"/>
      <c r="B34" s="103" t="s">
        <v>58</v>
      </c>
      <c r="C34" s="103"/>
      <c r="D34" s="103"/>
      <c r="E34" s="10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7"/>
      <c r="R34" s="18"/>
    </row>
    <row r="35" spans="1:18">
      <c r="A35" s="13">
        <v>18560</v>
      </c>
      <c r="B35" s="21" t="s">
        <v>0</v>
      </c>
      <c r="C35" s="15">
        <v>0.5</v>
      </c>
      <c r="D35" s="15">
        <v>3</v>
      </c>
      <c r="E35" s="15">
        <v>1.69</v>
      </c>
      <c r="F35" s="15">
        <v>1.2</v>
      </c>
      <c r="G35" s="15"/>
      <c r="H35" s="17">
        <f t="shared" ref="H35:H36" si="9">H$1*E35*F35</f>
        <v>7860.5279999999993</v>
      </c>
      <c r="I35" s="15"/>
      <c r="J35" s="15"/>
      <c r="K35" s="15"/>
      <c r="L35" s="15"/>
      <c r="M35" s="15"/>
      <c r="N35" s="54">
        <f>(H35+J35+K35+L35+M35)*N$4</f>
        <v>786.05279999999993</v>
      </c>
      <c r="O35" s="53">
        <f>(H35+J35+K35+L35+M35+N35)*O$4</f>
        <v>6052.6065599999993</v>
      </c>
      <c r="P35" s="53">
        <f>(H35+J35+K35+L35+M35+N35)*P$4</f>
        <v>4323.2903999999999</v>
      </c>
      <c r="Q35" s="54">
        <f>(H35+J35+K35+L35+M35+N35+O35+P35)*C35</f>
        <v>9511.2388800000008</v>
      </c>
      <c r="R35" s="18">
        <f>Q35*12</f>
        <v>114134.86656000001</v>
      </c>
    </row>
    <row r="36" spans="1:18">
      <c r="A36" s="13">
        <v>11471</v>
      </c>
      <c r="B36" s="21" t="s">
        <v>7</v>
      </c>
      <c r="C36" s="15">
        <v>0.3</v>
      </c>
      <c r="D36" s="15">
        <v>1</v>
      </c>
      <c r="E36" s="15">
        <v>1</v>
      </c>
      <c r="F36" s="15">
        <v>1.2</v>
      </c>
      <c r="G36" s="15"/>
      <c r="H36" s="17">
        <f t="shared" si="9"/>
        <v>4651.2</v>
      </c>
      <c r="I36" s="15"/>
      <c r="J36" s="15"/>
      <c r="K36" s="17">
        <f>H36*K4</f>
        <v>139.536</v>
      </c>
      <c r="L36" s="15"/>
      <c r="M36" s="15"/>
      <c r="N36" s="54">
        <f>(H36+J36+K36+L36+M36)*0.4</f>
        <v>1916.2944</v>
      </c>
      <c r="O36" s="53">
        <f>(H36+J36+K36+L36+M36+N36)*O$4</f>
        <v>4694.9212799999996</v>
      </c>
      <c r="P36" s="53">
        <f>(H36+J36+K36+L36+M36+N36)*P$4</f>
        <v>3353.5151999999998</v>
      </c>
      <c r="Q36" s="54">
        <f>(H36+J36+K36+L36+M36+N36+O36+P36)*C36</f>
        <v>4426.6400639999993</v>
      </c>
      <c r="R36" s="18">
        <f>Q36*12</f>
        <v>53119.680767999991</v>
      </c>
    </row>
    <row r="37" spans="1:18">
      <c r="A37" s="13"/>
      <c r="B37" s="21" t="s">
        <v>29</v>
      </c>
      <c r="C37" s="15">
        <f>SUM(C35:C36)</f>
        <v>0.8</v>
      </c>
      <c r="D37" s="15"/>
      <c r="E37" s="15"/>
      <c r="F37" s="15"/>
      <c r="G37" s="15"/>
      <c r="H37" s="17">
        <f>(H35*C35)+(H36*C36)</f>
        <v>5325.6239999999998</v>
      </c>
      <c r="I37" s="15"/>
      <c r="J37" s="15"/>
      <c r="K37" s="15"/>
      <c r="L37" s="15"/>
      <c r="M37" s="15"/>
      <c r="N37" s="15"/>
      <c r="O37" s="15"/>
      <c r="P37" s="15"/>
      <c r="Q37" s="17"/>
      <c r="R37" s="18">
        <f>SUM(R35:R36)</f>
        <v>167254.54732800002</v>
      </c>
    </row>
    <row r="38" spans="1:18">
      <c r="A38" s="13"/>
      <c r="B38" s="21" t="s">
        <v>38</v>
      </c>
      <c r="C38" s="19">
        <v>0.25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7"/>
      <c r="R38" s="18"/>
    </row>
    <row r="39" spans="1:18">
      <c r="A39" s="13"/>
      <c r="B39" s="21" t="s">
        <v>40</v>
      </c>
      <c r="C39" s="19">
        <v>0.7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7"/>
      <c r="R39" s="18"/>
    </row>
    <row r="40" spans="1:18">
      <c r="A40" s="13"/>
      <c r="B40" s="21" t="s">
        <v>39</v>
      </c>
      <c r="C40" s="19">
        <v>0.5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7"/>
      <c r="R40" s="18"/>
    </row>
    <row r="41" spans="1:18">
      <c r="A41" s="13"/>
      <c r="B41" s="22" t="s">
        <v>29</v>
      </c>
      <c r="C41" s="14">
        <f>C37</f>
        <v>0.8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7"/>
      <c r="R41" s="20">
        <f>SUM(R37:R40)</f>
        <v>167254.54732800002</v>
      </c>
    </row>
    <row r="42" spans="1:18">
      <c r="A42" s="13"/>
      <c r="B42" s="22" t="s">
        <v>59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7"/>
      <c r="R42" s="18"/>
    </row>
    <row r="43" spans="1:18">
      <c r="A43" s="13">
        <v>11442</v>
      </c>
      <c r="B43" s="21" t="s">
        <v>34</v>
      </c>
      <c r="C43" s="15">
        <v>0.5</v>
      </c>
      <c r="D43" s="15">
        <v>5</v>
      </c>
      <c r="E43" s="15">
        <v>2.16</v>
      </c>
      <c r="F43" s="15">
        <v>1.2</v>
      </c>
      <c r="G43" s="15"/>
      <c r="H43" s="17">
        <f t="shared" ref="H43" si="10">H$1*E43*F43</f>
        <v>10046.591999999999</v>
      </c>
      <c r="I43" s="15"/>
      <c r="J43" s="15"/>
      <c r="K43" s="17">
        <f>H43*K4</f>
        <v>301.39775999999995</v>
      </c>
      <c r="L43" s="15">
        <f>H43*0.1</f>
        <v>1004.6591999999999</v>
      </c>
      <c r="M43" s="15"/>
      <c r="N43" s="54">
        <f>(H43+J43+K43+L43+M43)*N$4</f>
        <v>1135.2648959999999</v>
      </c>
      <c r="O43" s="53">
        <f>(H43+J43+K43+L43+M43+N43)*O$4</f>
        <v>8741.5396991999987</v>
      </c>
      <c r="P43" s="53">
        <f>(H43+J43+K43+L43+M43+N43)*P$4</f>
        <v>6243.9569279999996</v>
      </c>
      <c r="Q43" s="54">
        <f>(H43+J43+K43+L43+M43+N43+O43+P43)*C43</f>
        <v>13736.705241599999</v>
      </c>
      <c r="R43" s="18">
        <f>Q43*12</f>
        <v>164840.46289919998</v>
      </c>
    </row>
    <row r="44" spans="1:18">
      <c r="A44" s="13"/>
      <c r="B44" s="21" t="s">
        <v>29</v>
      </c>
      <c r="C44" s="15">
        <f>SUM(C43)</f>
        <v>0.5</v>
      </c>
      <c r="D44" s="15"/>
      <c r="E44" s="15"/>
      <c r="F44" s="15"/>
      <c r="G44" s="15"/>
      <c r="H44" s="37">
        <f>H43*0.5</f>
        <v>5023.2959999999994</v>
      </c>
      <c r="I44" s="15"/>
      <c r="J44" s="15"/>
      <c r="K44" s="15"/>
      <c r="L44" s="15"/>
      <c r="M44" s="15"/>
      <c r="N44" s="15"/>
      <c r="O44" s="15"/>
      <c r="P44" s="15"/>
      <c r="Q44" s="17"/>
      <c r="R44" s="18">
        <f>SUM(R43)</f>
        <v>164840.46289919998</v>
      </c>
    </row>
    <row r="45" spans="1:18">
      <c r="A45" s="13"/>
      <c r="B45" s="21" t="s">
        <v>38</v>
      </c>
      <c r="C45" s="19">
        <v>0.1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7"/>
      <c r="R45" s="18"/>
    </row>
    <row r="46" spans="1:18">
      <c r="A46" s="13"/>
      <c r="B46" s="21" t="s">
        <v>40</v>
      </c>
      <c r="C46" s="19">
        <v>0.7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7"/>
      <c r="R46" s="18"/>
    </row>
    <row r="47" spans="1:18">
      <c r="A47" s="13"/>
      <c r="B47" s="21" t="s">
        <v>39</v>
      </c>
      <c r="C47" s="19">
        <v>0.5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7"/>
      <c r="R47" s="18"/>
    </row>
    <row r="48" spans="1:18">
      <c r="A48" s="13"/>
      <c r="B48" s="22" t="s">
        <v>29</v>
      </c>
      <c r="C48" s="14">
        <f>C44</f>
        <v>0.5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7"/>
      <c r="R48" s="20">
        <f>SUM(R44:R47)</f>
        <v>164840.46289919998</v>
      </c>
    </row>
    <row r="49" spans="1:19">
      <c r="A49" s="13">
        <v>11442</v>
      </c>
      <c r="B49" s="21" t="s">
        <v>55</v>
      </c>
      <c r="C49" s="15">
        <v>0.5</v>
      </c>
      <c r="D49" s="15">
        <v>1</v>
      </c>
      <c r="E49" s="15">
        <v>2.16</v>
      </c>
      <c r="F49" s="15">
        <v>1.2</v>
      </c>
      <c r="G49" s="15"/>
      <c r="H49" s="17">
        <f t="shared" ref="H49" si="11">H$1*E49*F49</f>
        <v>10046.591999999999</v>
      </c>
      <c r="I49" s="15"/>
      <c r="J49" s="17">
        <f>H49*J4</f>
        <v>401.86367999999993</v>
      </c>
      <c r="K49" s="15"/>
      <c r="L49" s="15">
        <f>H49*10%</f>
        <v>1004.6591999999999</v>
      </c>
      <c r="M49" s="15"/>
      <c r="N49" s="54">
        <f>(H49+J49+K49+L49+M49)*N$4</f>
        <v>1145.3114880000001</v>
      </c>
      <c r="O49" s="53">
        <f>(H49+J49+K49+L49+M49+N49)*O$4</f>
        <v>8818.8984575999984</v>
      </c>
      <c r="P49" s="53">
        <f>(H49+J49+K49+L49+M49+N49)*P$4</f>
        <v>6299.2131839999993</v>
      </c>
      <c r="Q49" s="54">
        <f>(H49+J49+K49+L49+M49+N49+O49+P49)*C49</f>
        <v>13858.269004799999</v>
      </c>
      <c r="R49" s="18">
        <f>Q49*12</f>
        <v>166299.22805759998</v>
      </c>
    </row>
    <row r="50" spans="1:19" ht="12.75" customHeight="1">
      <c r="A50" s="13"/>
      <c r="B50" s="21" t="s">
        <v>29</v>
      </c>
      <c r="C50" s="15">
        <f>SUM(C49:C49)</f>
        <v>0.5</v>
      </c>
      <c r="D50" s="15"/>
      <c r="E50" s="15"/>
      <c r="F50" s="15"/>
      <c r="G50" s="15"/>
      <c r="H50" s="17"/>
      <c r="I50" s="15"/>
      <c r="J50" s="15"/>
      <c r="K50" s="15"/>
      <c r="L50" s="15"/>
      <c r="M50" s="15"/>
      <c r="N50" s="15"/>
      <c r="O50" s="15"/>
      <c r="P50" s="15"/>
      <c r="Q50" s="17"/>
      <c r="R50" s="18">
        <f>SUM(R49:R49)</f>
        <v>166299.22805759998</v>
      </c>
    </row>
    <row r="51" spans="1:19">
      <c r="A51" s="13"/>
      <c r="B51" s="21" t="s">
        <v>38</v>
      </c>
      <c r="C51" s="19">
        <v>0.1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7"/>
      <c r="R51" s="18"/>
    </row>
    <row r="52" spans="1:19">
      <c r="A52" s="13"/>
      <c r="B52" s="21" t="s">
        <v>40</v>
      </c>
      <c r="C52" s="19">
        <v>0.7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7"/>
      <c r="R52" s="18"/>
    </row>
    <row r="53" spans="1:19">
      <c r="A53" s="13"/>
      <c r="B53" s="21" t="s">
        <v>39</v>
      </c>
      <c r="C53" s="19">
        <v>0.5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7"/>
      <c r="R53" s="18"/>
    </row>
    <row r="54" spans="1:19">
      <c r="A54" s="13"/>
      <c r="B54" s="22" t="s">
        <v>29</v>
      </c>
      <c r="C54" s="14">
        <f>C50</f>
        <v>0.5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7"/>
      <c r="R54" s="20">
        <f>SUM(R50:R53)</f>
        <v>166299.22805759998</v>
      </c>
    </row>
    <row r="55" spans="1:19">
      <c r="A55" s="13"/>
      <c r="B55" s="60" t="s">
        <v>37</v>
      </c>
      <c r="C55" s="14">
        <f>C33+C41+C48+C54</f>
        <v>9.8000000000000007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20">
        <f>R23+R33+R41+R48+R54</f>
        <v>6986668.9738348778</v>
      </c>
    </row>
    <row r="56" spans="1:19">
      <c r="A56" s="101" t="s">
        <v>62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3"/>
      <c r="M56" s="3"/>
      <c r="N56" s="3"/>
      <c r="O56" s="3"/>
      <c r="P56" s="3"/>
      <c r="Q56" s="3"/>
      <c r="R56" s="58"/>
    </row>
    <row r="57" spans="1:19">
      <c r="A57" s="13"/>
      <c r="B57" s="22" t="s">
        <v>68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7"/>
      <c r="R57" s="18"/>
    </row>
    <row r="58" spans="1:19">
      <c r="A58" s="13">
        <v>15643</v>
      </c>
      <c r="B58" s="21" t="s">
        <v>1</v>
      </c>
      <c r="C58" s="15">
        <v>4.5</v>
      </c>
      <c r="D58" s="15">
        <v>4</v>
      </c>
      <c r="E58" s="15">
        <v>1.91</v>
      </c>
      <c r="F58" s="15">
        <v>1.2</v>
      </c>
      <c r="G58" s="15"/>
      <c r="H58" s="17">
        <f t="shared" ref="H58:H61" si="12">H$1*E58*F58</f>
        <v>8883.7919999999995</v>
      </c>
      <c r="I58" s="17"/>
      <c r="J58" s="17">
        <f>H58*J4</f>
        <v>355.35167999999999</v>
      </c>
      <c r="K58" s="17">
        <f>H58*K4</f>
        <v>266.51375999999999</v>
      </c>
      <c r="L58" s="15"/>
      <c r="M58" s="17">
        <f>H58*0.133</f>
        <v>1181.5443359999999</v>
      </c>
      <c r="N58" s="54">
        <f>(H58+J58+K58+L58+M58)*N$4</f>
        <v>1068.7201775999999</v>
      </c>
      <c r="O58" s="53">
        <f>(H58+J58+K58+L58+M58+N58)*O$4</f>
        <v>8229.1453675199991</v>
      </c>
      <c r="P58" s="53">
        <f>(H58+J58+K58+L58+M58+N58)*P$4</f>
        <v>5877.9609767999991</v>
      </c>
      <c r="Q58" s="54">
        <f>(H58+J58+K58+L58+M58+N58+O58+P58)*C58</f>
        <v>116383.62734064</v>
      </c>
      <c r="R58" s="18">
        <f>Q58*12</f>
        <v>1396603.52808768</v>
      </c>
    </row>
    <row r="59" spans="1:19" ht="24">
      <c r="A59" s="13">
        <v>18531</v>
      </c>
      <c r="B59" s="21" t="s">
        <v>35</v>
      </c>
      <c r="C59" s="15">
        <v>2</v>
      </c>
      <c r="D59" s="15">
        <v>3</v>
      </c>
      <c r="E59" s="15">
        <v>1.69</v>
      </c>
      <c r="F59" s="15">
        <v>1.2</v>
      </c>
      <c r="G59" s="15"/>
      <c r="H59" s="17">
        <f t="shared" si="12"/>
        <v>7860.5279999999993</v>
      </c>
      <c r="I59" s="15"/>
      <c r="J59" s="17">
        <f>H59*J4</f>
        <v>314.42111999999997</v>
      </c>
      <c r="K59" s="15"/>
      <c r="L59" s="15"/>
      <c r="M59" s="15"/>
      <c r="N59" s="54">
        <f>(H59+J59+K59+L59+M59)*N$4</f>
        <v>817.494912</v>
      </c>
      <c r="O59" s="54">
        <f>(H59+J59+K59+L59+M59+N59)*O$4</f>
        <v>6294.7108223999994</v>
      </c>
      <c r="P59" s="54">
        <f>(H59+J59+K59+L59+M59+N59)*P$4</f>
        <v>4496.2220159999997</v>
      </c>
      <c r="Q59" s="54">
        <f>(H59+J59+K59+L59+M59+N59+O59+P59)*C59</f>
        <v>39566.753740799999</v>
      </c>
      <c r="R59" s="18">
        <f>Q59*1*12</f>
        <v>474801.04488960002</v>
      </c>
    </row>
    <row r="60" spans="1:19">
      <c r="A60" s="13">
        <v>19906</v>
      </c>
      <c r="B60" s="21" t="s">
        <v>30</v>
      </c>
      <c r="C60" s="15">
        <v>1</v>
      </c>
      <c r="D60" s="15">
        <v>7</v>
      </c>
      <c r="E60" s="15">
        <v>2.76</v>
      </c>
      <c r="F60" s="15">
        <v>1.2</v>
      </c>
      <c r="G60" s="15"/>
      <c r="H60" s="17">
        <f t="shared" si="12"/>
        <v>12837.311999999998</v>
      </c>
      <c r="I60" s="15"/>
      <c r="J60" s="17">
        <f>H60*J4</f>
        <v>513.49247999999989</v>
      </c>
      <c r="K60" s="15"/>
      <c r="L60" s="15"/>
      <c r="M60" s="15"/>
      <c r="N60" s="54">
        <f>(H60+J60+K60+L60+M60)*N$4</f>
        <v>1335.0804479999999</v>
      </c>
      <c r="O60" s="54">
        <f>(H60+J60+K60+L60+M60+N60)*O$4</f>
        <v>10280.119449599999</v>
      </c>
      <c r="P60" s="54">
        <f>(H60+J60+K60+L60+M60+N60)*P$4</f>
        <v>7342.9424639999997</v>
      </c>
      <c r="Q60" s="54">
        <f>(H60+J60+K60+L60+M60+N60+O60+P60)*C60</f>
        <v>32308.946841599998</v>
      </c>
      <c r="R60" s="18">
        <f>Q60*12</f>
        <v>387707.36209919996</v>
      </c>
    </row>
    <row r="61" spans="1:19" ht="24">
      <c r="A61" s="13">
        <v>19861</v>
      </c>
      <c r="B61" s="21" t="s">
        <v>36</v>
      </c>
      <c r="C61" s="15">
        <v>1</v>
      </c>
      <c r="D61" s="15">
        <v>5</v>
      </c>
      <c r="E61" s="15">
        <v>2.16</v>
      </c>
      <c r="F61" s="15">
        <v>1.2</v>
      </c>
      <c r="G61" s="15"/>
      <c r="H61" s="17">
        <f t="shared" si="12"/>
        <v>10046.591999999999</v>
      </c>
      <c r="I61" s="15"/>
      <c r="J61" s="17">
        <f>H61*J4</f>
        <v>401.86367999999993</v>
      </c>
      <c r="K61" s="15"/>
      <c r="L61" s="15"/>
      <c r="M61" s="15"/>
      <c r="N61" s="54">
        <f>(H61+J61+K61+L61+M61)*N$4</f>
        <v>1044.845568</v>
      </c>
      <c r="O61" s="54">
        <f>(H61+J61+K61+L61+M61+N61)*O$4</f>
        <v>8045.3108735999995</v>
      </c>
      <c r="P61" s="54">
        <f>(H61+J61+K61+L61+M61+N61)*P$4</f>
        <v>5746.6506239999999</v>
      </c>
      <c r="Q61" s="54">
        <f>(H61+J61+K61+L61+M61+N61+O61+P61)*C61</f>
        <v>25285.262745599997</v>
      </c>
      <c r="R61" s="18">
        <f>Q61*12</f>
        <v>303423.1529472</v>
      </c>
    </row>
    <row r="62" spans="1:19">
      <c r="A62" s="13"/>
      <c r="B62" s="21" t="s">
        <v>29</v>
      </c>
      <c r="C62" s="15">
        <f>SUM(C58:C61)</f>
        <v>8.5</v>
      </c>
      <c r="D62" s="15"/>
      <c r="E62" s="15"/>
      <c r="F62" s="15"/>
      <c r="G62" s="15"/>
      <c r="H62" s="17">
        <f>(H58*C58)+(H59*C59)+H60+H61</f>
        <v>78582.024000000005</v>
      </c>
      <c r="I62" s="15"/>
      <c r="J62" s="15"/>
      <c r="K62" s="15"/>
      <c r="L62" s="15"/>
      <c r="M62" s="15"/>
      <c r="N62" s="15"/>
      <c r="O62" s="17"/>
      <c r="P62" s="17"/>
      <c r="Q62" s="17"/>
      <c r="R62" s="18">
        <f>SUM(R58:R61)</f>
        <v>2562535.0880236798</v>
      </c>
      <c r="S62" s="7"/>
    </row>
    <row r="63" spans="1:19">
      <c r="A63" s="13"/>
      <c r="B63" s="21" t="s">
        <v>38</v>
      </c>
      <c r="C63" s="19">
        <v>0.1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7"/>
      <c r="P63" s="17"/>
      <c r="Q63" s="17"/>
      <c r="R63" s="18"/>
      <c r="S63" s="7"/>
    </row>
    <row r="64" spans="1:19">
      <c r="A64" s="13"/>
      <c r="B64" s="21" t="s">
        <v>40</v>
      </c>
      <c r="C64" s="19">
        <v>0.7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7"/>
      <c r="P64" s="17"/>
      <c r="Q64" s="17"/>
      <c r="R64" s="18"/>
      <c r="S64" s="7"/>
    </row>
    <row r="65" spans="1:19">
      <c r="A65" s="13"/>
      <c r="B65" s="21" t="s">
        <v>39</v>
      </c>
      <c r="C65" s="19">
        <v>0.5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7"/>
      <c r="P65" s="17"/>
      <c r="Q65" s="17"/>
      <c r="R65" s="18"/>
      <c r="S65" s="7"/>
    </row>
    <row r="66" spans="1:19">
      <c r="A66" s="13"/>
      <c r="B66" s="22" t="s">
        <v>29</v>
      </c>
      <c r="C66" s="14">
        <f>C62</f>
        <v>8.5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7"/>
      <c r="P66" s="17"/>
      <c r="Q66" s="17"/>
      <c r="R66" s="20">
        <f>R62+R63+R64+R65</f>
        <v>2562535.0880236798</v>
      </c>
      <c r="S66" s="7"/>
    </row>
    <row r="67" spans="1:19">
      <c r="A67" s="13"/>
      <c r="B67" s="103" t="s">
        <v>69</v>
      </c>
      <c r="C67" s="103"/>
      <c r="D67" s="103"/>
      <c r="E67" s="103"/>
      <c r="F67" s="15"/>
      <c r="G67" s="15"/>
      <c r="H67" s="15"/>
      <c r="I67" s="15"/>
      <c r="J67" s="15"/>
      <c r="K67" s="15"/>
      <c r="L67" s="15"/>
      <c r="M67" s="15"/>
      <c r="N67" s="15"/>
      <c r="O67" s="17"/>
      <c r="P67" s="17"/>
      <c r="Q67" s="17"/>
      <c r="R67" s="18"/>
    </row>
    <row r="68" spans="1:19">
      <c r="A68" s="13">
        <v>18560</v>
      </c>
      <c r="B68" s="21" t="s">
        <v>0</v>
      </c>
      <c r="C68" s="15">
        <v>0.5</v>
      </c>
      <c r="D68" s="15">
        <v>3</v>
      </c>
      <c r="E68" s="15">
        <v>1.69</v>
      </c>
      <c r="F68" s="15">
        <v>1.2</v>
      </c>
      <c r="G68" s="15"/>
      <c r="H68" s="17">
        <f t="shared" ref="H68:H69" si="13">H$1*E68*F68</f>
        <v>7860.5279999999993</v>
      </c>
      <c r="I68" s="15"/>
      <c r="J68" s="15"/>
      <c r="K68" s="15"/>
      <c r="L68" s="15"/>
      <c r="M68" s="15"/>
      <c r="N68" s="54">
        <f>(H68+J68+K68+L68+M68)*N$4</f>
        <v>786.05279999999993</v>
      </c>
      <c r="O68" s="54">
        <f>(H68+J68+K68+L68+M68+N68)*O$4</f>
        <v>6052.6065599999993</v>
      </c>
      <c r="P68" s="54">
        <f>(H68+J68+K68+L68+M68+N68)*P$4</f>
        <v>4323.2903999999999</v>
      </c>
      <c r="Q68" s="54">
        <f>(H68+J68+K68+L68+M68+N68+O68+P68)*C68</f>
        <v>9511.2388800000008</v>
      </c>
      <c r="R68" s="18">
        <f>Q68*12</f>
        <v>114134.86656000001</v>
      </c>
    </row>
    <row r="69" spans="1:19">
      <c r="A69" s="13">
        <v>11471</v>
      </c>
      <c r="B69" s="21" t="s">
        <v>7</v>
      </c>
      <c r="C69" s="15">
        <v>0.3</v>
      </c>
      <c r="D69" s="15">
        <v>1</v>
      </c>
      <c r="E69" s="15">
        <v>1</v>
      </c>
      <c r="F69" s="15">
        <v>1.2</v>
      </c>
      <c r="G69" s="15"/>
      <c r="H69" s="17">
        <f t="shared" si="13"/>
        <v>4651.2</v>
      </c>
      <c r="I69" s="15"/>
      <c r="J69" s="15"/>
      <c r="K69" s="17">
        <f>H69*K4</f>
        <v>139.536</v>
      </c>
      <c r="L69" s="15"/>
      <c r="M69" s="15"/>
      <c r="N69" s="54">
        <f>(H69+J69+K69+L69+M69)*0.25</f>
        <v>1197.684</v>
      </c>
      <c r="O69" s="54">
        <f>(H69+J69+K69+L69+M69+N69)*O$4</f>
        <v>4191.8940000000002</v>
      </c>
      <c r="P69" s="54">
        <f>(H69+J69+K69+L69+M69+N69)*P$4</f>
        <v>2994.21</v>
      </c>
      <c r="Q69" s="54">
        <f>(H69+J69+K69+L69+M69+N69+O69+P69)*C69</f>
        <v>3952.3572000000004</v>
      </c>
      <c r="R69" s="18">
        <f>Q69*12</f>
        <v>47428.286400000005</v>
      </c>
    </row>
    <row r="70" spans="1:19">
      <c r="A70" s="13"/>
      <c r="B70" s="21" t="s">
        <v>29</v>
      </c>
      <c r="C70" s="15">
        <f>SUM(C68:C69)</f>
        <v>0.8</v>
      </c>
      <c r="D70" s="15"/>
      <c r="E70" s="15"/>
      <c r="F70" s="15"/>
      <c r="G70" s="15"/>
      <c r="H70" s="15">
        <f>(H68*C68)+(H69*C69)</f>
        <v>5325.6239999999998</v>
      </c>
      <c r="I70" s="15"/>
      <c r="J70" s="15"/>
      <c r="K70" s="15"/>
      <c r="L70" s="15"/>
      <c r="M70" s="15"/>
      <c r="N70" s="15"/>
      <c r="O70" s="17"/>
      <c r="P70" s="17"/>
      <c r="Q70" s="17"/>
      <c r="R70" s="18">
        <f>SUM(R68:R69)</f>
        <v>161563.15296000001</v>
      </c>
    </row>
    <row r="71" spans="1:19">
      <c r="A71" s="13"/>
      <c r="B71" s="21" t="s">
        <v>38</v>
      </c>
      <c r="C71" s="19">
        <v>0.25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7"/>
      <c r="P71" s="17"/>
      <c r="Q71" s="17"/>
      <c r="R71" s="18"/>
    </row>
    <row r="72" spans="1:19">
      <c r="A72" s="13"/>
      <c r="B72" s="21" t="s">
        <v>40</v>
      </c>
      <c r="C72" s="19">
        <v>0.7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7"/>
      <c r="P72" s="17"/>
      <c r="Q72" s="17"/>
      <c r="R72" s="18"/>
    </row>
    <row r="73" spans="1:19">
      <c r="A73" s="13"/>
      <c r="B73" s="21" t="s">
        <v>39</v>
      </c>
      <c r="C73" s="19">
        <v>0.5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7"/>
      <c r="P73" s="17"/>
      <c r="Q73" s="17"/>
      <c r="R73" s="18"/>
    </row>
    <row r="74" spans="1:19">
      <c r="A74" s="13"/>
      <c r="B74" s="22" t="s">
        <v>29</v>
      </c>
      <c r="C74" s="14">
        <f>C70</f>
        <v>0.8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7"/>
      <c r="P74" s="17"/>
      <c r="Q74" s="17"/>
      <c r="R74" s="20">
        <f>SUM(R70:R73)</f>
        <v>161563.15296000001</v>
      </c>
      <c r="S74" s="7"/>
    </row>
    <row r="75" spans="1:19">
      <c r="A75" s="13"/>
      <c r="B75" s="22" t="s">
        <v>70</v>
      </c>
      <c r="C75" s="14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7"/>
      <c r="P75" s="17"/>
      <c r="Q75" s="17"/>
      <c r="R75" s="20"/>
    </row>
    <row r="76" spans="1:19">
      <c r="A76" s="13">
        <v>11442</v>
      </c>
      <c r="B76" s="21" t="s">
        <v>31</v>
      </c>
      <c r="C76" s="15">
        <v>0.3</v>
      </c>
      <c r="D76" s="15">
        <v>5</v>
      </c>
      <c r="E76" s="15">
        <v>2.16</v>
      </c>
      <c r="F76" s="15">
        <v>1.2</v>
      </c>
      <c r="G76" s="15"/>
      <c r="H76" s="17">
        <f t="shared" ref="H76" si="14">H$1*E76*F76</f>
        <v>10046.591999999999</v>
      </c>
      <c r="I76" s="15"/>
      <c r="J76" s="15"/>
      <c r="K76" s="17">
        <f>H76*K4</f>
        <v>301.39775999999995</v>
      </c>
      <c r="L76" s="15">
        <f>H76*0.1</f>
        <v>1004.6591999999999</v>
      </c>
      <c r="M76" s="15"/>
      <c r="N76" s="54">
        <f>(H76+J76+K76+L76+M76)*N$4</f>
        <v>1135.2648959999999</v>
      </c>
      <c r="O76" s="54">
        <f>(H76+J76+K76+L76+M76+N76)*O$4</f>
        <v>8741.5396991999987</v>
      </c>
      <c r="P76" s="54">
        <f>(H76+J76+K76+L76+M76+N76)*P$4</f>
        <v>6243.9569279999996</v>
      </c>
      <c r="Q76" s="54">
        <f>(H76+J76+K76+L76+M76+N76+O76+P76)*C76</f>
        <v>8242.0231449599996</v>
      </c>
      <c r="R76" s="18">
        <f>Q76*12</f>
        <v>98904.277739519996</v>
      </c>
    </row>
    <row r="77" spans="1:19">
      <c r="A77" s="13"/>
      <c r="B77" s="21" t="s">
        <v>38</v>
      </c>
      <c r="C77" s="19">
        <v>0.1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7"/>
      <c r="P77" s="17"/>
      <c r="Q77" s="17"/>
      <c r="R77" s="18"/>
    </row>
    <row r="78" spans="1:19">
      <c r="A78" s="13"/>
      <c r="B78" s="21" t="s">
        <v>40</v>
      </c>
      <c r="C78" s="19">
        <v>0.7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7"/>
      <c r="P78" s="17"/>
      <c r="Q78" s="17"/>
      <c r="R78" s="18"/>
    </row>
    <row r="79" spans="1:19">
      <c r="A79" s="13"/>
      <c r="B79" s="21" t="s">
        <v>39</v>
      </c>
      <c r="C79" s="19">
        <v>0.5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7"/>
      <c r="P79" s="17"/>
      <c r="Q79" s="17"/>
      <c r="R79" s="18"/>
    </row>
    <row r="80" spans="1:19">
      <c r="A80" s="13"/>
      <c r="B80" s="22" t="s">
        <v>29</v>
      </c>
      <c r="C80" s="14">
        <f>C76</f>
        <v>0.3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7"/>
      <c r="P80" s="17"/>
      <c r="Q80" s="17"/>
      <c r="R80" s="20">
        <f>SUM(R76:R79)</f>
        <v>98904.277739519996</v>
      </c>
    </row>
    <row r="81" spans="1:18">
      <c r="A81" s="13"/>
      <c r="B81" s="22" t="s">
        <v>71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7"/>
      <c r="P81" s="17"/>
      <c r="Q81" s="17"/>
      <c r="R81" s="18"/>
    </row>
    <row r="82" spans="1:18">
      <c r="A82" s="13">
        <v>11442</v>
      </c>
      <c r="B82" s="21" t="s">
        <v>56</v>
      </c>
      <c r="C82" s="15">
        <v>0.5</v>
      </c>
      <c r="D82" s="15">
        <v>5</v>
      </c>
      <c r="E82" s="15">
        <v>2.16</v>
      </c>
      <c r="F82" s="15">
        <v>1.2</v>
      </c>
      <c r="G82" s="15"/>
      <c r="H82" s="17">
        <f t="shared" ref="H82" si="15">H$1*E82*F82</f>
        <v>10046.591999999999</v>
      </c>
      <c r="I82" s="15"/>
      <c r="J82" s="17">
        <f>H82*J4</f>
        <v>401.86367999999993</v>
      </c>
      <c r="K82" s="17"/>
      <c r="L82" s="15">
        <f>H82*10%</f>
        <v>1004.6591999999999</v>
      </c>
      <c r="M82" s="17"/>
      <c r="N82" s="54">
        <f>(H82+J82+K82+L82+M82)*N$4</f>
        <v>1145.3114880000001</v>
      </c>
      <c r="O82" s="54">
        <f>(H82+J82+K82+L82+M82+N82)*O$4</f>
        <v>8818.8984575999984</v>
      </c>
      <c r="P82" s="54">
        <f>(H82+J82+K82+L82+M82+N82)*P$4</f>
        <v>6299.2131839999993</v>
      </c>
      <c r="Q82" s="54">
        <f>(H82+J82+K82+L82+M82+N82+O82+P82)*C82</f>
        <v>13858.269004799999</v>
      </c>
      <c r="R82" s="18">
        <f>Q82*12</f>
        <v>166299.22805759998</v>
      </c>
    </row>
    <row r="83" spans="1:18">
      <c r="A83" s="13"/>
      <c r="B83" s="21" t="s">
        <v>29</v>
      </c>
      <c r="C83" s="15">
        <f>SUM(C82:C82)</f>
        <v>0.5</v>
      </c>
      <c r="D83" s="15"/>
      <c r="E83" s="15"/>
      <c r="F83" s="15"/>
      <c r="G83" s="15"/>
      <c r="H83" s="17"/>
      <c r="I83" s="15"/>
      <c r="J83" s="15"/>
      <c r="K83" s="15"/>
      <c r="L83" s="15"/>
      <c r="M83" s="15"/>
      <c r="N83" s="15"/>
      <c r="O83" s="15"/>
      <c r="P83" s="15"/>
      <c r="Q83" s="17"/>
      <c r="R83" s="18">
        <f>SUM(R82:R82)</f>
        <v>166299.22805759998</v>
      </c>
    </row>
    <row r="84" spans="1:18">
      <c r="A84" s="13"/>
      <c r="B84" s="21" t="s">
        <v>38</v>
      </c>
      <c r="C84" s="19">
        <v>0.1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7"/>
      <c r="R84" s="18"/>
    </row>
    <row r="85" spans="1:18">
      <c r="A85" s="13"/>
      <c r="B85" s="21" t="s">
        <v>40</v>
      </c>
      <c r="C85" s="19">
        <v>0.7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7"/>
      <c r="R85" s="18"/>
    </row>
    <row r="86" spans="1:18">
      <c r="A86" s="13"/>
      <c r="B86" s="21" t="s">
        <v>39</v>
      </c>
      <c r="C86" s="19">
        <v>0.5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7"/>
      <c r="R86" s="18"/>
    </row>
    <row r="87" spans="1:18">
      <c r="A87" s="13"/>
      <c r="B87" s="22" t="s">
        <v>29</v>
      </c>
      <c r="C87" s="14">
        <f>C83</f>
        <v>0.5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7"/>
      <c r="R87" s="20">
        <f>R83+R84+R85+R86</f>
        <v>166299.22805759998</v>
      </c>
    </row>
    <row r="88" spans="1:18">
      <c r="A88" s="13"/>
      <c r="B88" s="22" t="s">
        <v>32</v>
      </c>
      <c r="C88" s="14">
        <f>C87+C80+C74+C66</f>
        <v>10.1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20">
        <f>R87+R80+R74+R66</f>
        <v>2989301.7467807997</v>
      </c>
    </row>
    <row r="89" spans="1:18">
      <c r="A89" s="13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</row>
    <row r="90" spans="1:18">
      <c r="A90" s="24"/>
      <c r="B90" s="50" t="s">
        <v>32</v>
      </c>
      <c r="C90" s="50">
        <f>C55+C88+C23</f>
        <v>27.2</v>
      </c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51">
        <f>+R55+R88</f>
        <v>9975970.7206156775</v>
      </c>
    </row>
    <row r="92" spans="1:18" ht="12.75">
      <c r="B92" s="1" t="s">
        <v>61</v>
      </c>
      <c r="E92" s="35"/>
      <c r="F92" s="35"/>
      <c r="G92" s="35"/>
      <c r="H92" s="35" t="s">
        <v>74</v>
      </c>
      <c r="I92" s="35"/>
      <c r="J92" s="35"/>
      <c r="K92" s="35"/>
    </row>
    <row r="93" spans="1:18" ht="12.75">
      <c r="E93" s="35"/>
      <c r="F93" s="35"/>
      <c r="G93" s="35"/>
      <c r="H93" s="35"/>
      <c r="I93" s="35"/>
      <c r="J93" s="35"/>
      <c r="K93" s="35"/>
    </row>
    <row r="94" spans="1:18" ht="12.75">
      <c r="G94" s="35"/>
      <c r="H94" s="35"/>
      <c r="I94" s="35"/>
      <c r="J94" s="35"/>
      <c r="K94" s="35"/>
    </row>
    <row r="95" spans="1:18" ht="12.75">
      <c r="E95" s="35"/>
      <c r="F95" s="35"/>
      <c r="G95" s="35"/>
      <c r="H95" s="35"/>
      <c r="I95" s="35"/>
      <c r="J95" s="35"/>
      <c r="K95" s="35"/>
    </row>
    <row r="96" spans="1:18" ht="12.75">
      <c r="B96" s="38"/>
      <c r="E96" s="35"/>
      <c r="F96" s="35"/>
      <c r="G96" s="35"/>
      <c r="H96" s="35"/>
      <c r="I96" s="35"/>
      <c r="J96" s="35"/>
      <c r="K96" s="35"/>
    </row>
    <row r="97" spans="1:19" ht="12.75">
      <c r="E97" s="35"/>
      <c r="F97" s="35"/>
    </row>
    <row r="104" spans="1:1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4.25">
      <c r="A107" s="3"/>
      <c r="B107" s="41"/>
      <c r="C107" s="41"/>
      <c r="D107" s="41"/>
      <c r="E107" s="41"/>
      <c r="F107" s="41"/>
      <c r="G107" s="41"/>
      <c r="H107" s="4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>
      <c r="A110" s="3"/>
      <c r="B110" s="102"/>
      <c r="C110" s="102"/>
      <c r="D110" s="102"/>
      <c r="E110" s="10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4"/>
      <c r="R110" s="4"/>
      <c r="S110" s="3"/>
    </row>
    <row r="111" spans="1:19">
      <c r="A111" s="42"/>
      <c r="B111" s="43"/>
      <c r="C111" s="44"/>
      <c r="D111" s="44"/>
      <c r="E111" s="44"/>
      <c r="F111" s="45"/>
      <c r="G111" s="42"/>
      <c r="H111" s="46"/>
      <c r="I111" s="42"/>
      <c r="J111" s="42"/>
      <c r="K111" s="42"/>
      <c r="L111" s="42"/>
      <c r="M111" s="42"/>
      <c r="N111" s="42"/>
      <c r="O111" s="42"/>
      <c r="P111" s="42"/>
      <c r="Q111" s="46"/>
      <c r="R111" s="46"/>
      <c r="S111" s="3"/>
    </row>
    <row r="112" spans="1:19">
      <c r="A112" s="42"/>
      <c r="B112" s="43"/>
      <c r="C112" s="44"/>
      <c r="D112" s="44"/>
      <c r="E112" s="44"/>
      <c r="F112" s="45"/>
      <c r="G112" s="42"/>
      <c r="H112" s="46"/>
      <c r="I112" s="42"/>
      <c r="J112" s="46"/>
      <c r="K112" s="42"/>
      <c r="L112" s="42"/>
      <c r="M112" s="42"/>
      <c r="N112" s="42"/>
      <c r="O112" s="42"/>
      <c r="P112" s="42"/>
      <c r="Q112" s="46"/>
      <c r="R112" s="46"/>
      <c r="S112" s="3"/>
    </row>
    <row r="113" spans="1:19">
      <c r="A113" s="42"/>
      <c r="B113" s="43"/>
      <c r="C113" s="44"/>
      <c r="D113" s="44"/>
      <c r="E113" s="44"/>
      <c r="F113" s="45"/>
      <c r="G113" s="42"/>
      <c r="H113" s="46"/>
      <c r="I113" s="42"/>
      <c r="J113" s="46"/>
      <c r="K113" s="42"/>
      <c r="L113" s="42"/>
      <c r="M113" s="42"/>
      <c r="N113" s="42"/>
      <c r="O113" s="42"/>
      <c r="P113" s="42"/>
      <c r="Q113" s="46"/>
      <c r="R113" s="46"/>
      <c r="S113" s="3"/>
    </row>
    <row r="114" spans="1:19">
      <c r="A114" s="42"/>
      <c r="B114" s="43"/>
      <c r="C114" s="44"/>
      <c r="D114" s="44"/>
      <c r="E114" s="44"/>
      <c r="F114" s="45"/>
      <c r="G114" s="42"/>
      <c r="H114" s="46"/>
      <c r="I114" s="42"/>
      <c r="J114" s="46"/>
      <c r="K114" s="42"/>
      <c r="L114" s="42"/>
      <c r="M114" s="42"/>
      <c r="N114" s="42"/>
      <c r="O114" s="42"/>
      <c r="P114" s="42"/>
      <c r="Q114" s="46"/>
      <c r="R114" s="46"/>
      <c r="S114" s="3"/>
    </row>
    <row r="115" spans="1:19">
      <c r="A115" s="42"/>
      <c r="B115" s="43"/>
      <c r="C115" s="44"/>
      <c r="D115" s="44"/>
      <c r="E115" s="44"/>
      <c r="F115" s="45"/>
      <c r="G115" s="42"/>
      <c r="H115" s="46"/>
      <c r="I115" s="42"/>
      <c r="J115" s="46"/>
      <c r="K115" s="46"/>
      <c r="L115" s="42"/>
      <c r="M115" s="46"/>
      <c r="N115" s="46"/>
      <c r="O115" s="46"/>
      <c r="P115" s="46"/>
      <c r="Q115" s="46"/>
      <c r="R115" s="46"/>
      <c r="S115" s="3"/>
    </row>
    <row r="116" spans="1:19">
      <c r="A116" s="42"/>
      <c r="B116" s="43"/>
      <c r="C116" s="44"/>
      <c r="D116" s="44"/>
      <c r="E116" s="44"/>
      <c r="F116" s="45"/>
      <c r="G116" s="42"/>
      <c r="H116" s="46"/>
      <c r="I116" s="42"/>
      <c r="J116" s="46"/>
      <c r="K116" s="46"/>
      <c r="L116" s="42"/>
      <c r="M116" s="46"/>
      <c r="N116" s="46"/>
      <c r="O116" s="46"/>
      <c r="P116" s="46"/>
      <c r="Q116" s="46"/>
      <c r="R116" s="46"/>
      <c r="S116" s="3"/>
    </row>
    <row r="117" spans="1:19">
      <c r="A117" s="3"/>
      <c r="B117" s="47"/>
      <c r="C117" s="40"/>
      <c r="D117" s="40"/>
      <c r="E117" s="40"/>
      <c r="F117" s="40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4"/>
      <c r="R117" s="4"/>
      <c r="S117" s="3"/>
    </row>
    <row r="118" spans="1:19">
      <c r="A118" s="3"/>
      <c r="B118" s="47"/>
      <c r="C118" s="48"/>
      <c r="D118" s="40"/>
      <c r="E118" s="40"/>
      <c r="F118" s="4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4"/>
      <c r="R118" s="4"/>
      <c r="S118" s="3"/>
    </row>
    <row r="119" spans="1:19">
      <c r="A119" s="3"/>
      <c r="B119" s="47"/>
      <c r="C119" s="48"/>
      <c r="D119" s="40"/>
      <c r="E119" s="40"/>
      <c r="F119" s="40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4"/>
      <c r="R119" s="4"/>
      <c r="S119" s="3"/>
    </row>
    <row r="120" spans="1:19">
      <c r="A120" s="3"/>
      <c r="B120" s="47"/>
      <c r="C120" s="48"/>
      <c r="D120" s="40"/>
      <c r="E120" s="40"/>
      <c r="F120" s="4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4"/>
      <c r="R120" s="4"/>
      <c r="S120" s="3"/>
    </row>
    <row r="121" spans="1:19">
      <c r="A121" s="3"/>
      <c r="B121" s="47"/>
      <c r="C121" s="48"/>
      <c r="D121" s="40"/>
      <c r="E121" s="40"/>
      <c r="F121" s="40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4"/>
      <c r="R121" s="4"/>
      <c r="S121" s="3"/>
    </row>
    <row r="122" spans="1:19">
      <c r="A122" s="3"/>
      <c r="B122" s="47"/>
      <c r="C122" s="48"/>
      <c r="D122" s="40"/>
      <c r="E122" s="40"/>
      <c r="F122" s="40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4"/>
      <c r="R122" s="4"/>
      <c r="S122" s="3"/>
    </row>
    <row r="123" spans="1:19">
      <c r="A123" s="3"/>
      <c r="B123" s="29"/>
      <c r="C123" s="59"/>
      <c r="D123" s="40"/>
      <c r="E123" s="40"/>
      <c r="F123" s="40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4"/>
      <c r="R123" s="36"/>
      <c r="S123" s="3"/>
    </row>
    <row r="124" spans="1:19">
      <c r="A124" s="3"/>
      <c r="B124" s="47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4"/>
      <c r="R124" s="4"/>
      <c r="S124" s="3"/>
    </row>
    <row r="125" spans="1:1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2.75">
      <c r="A129" s="3"/>
      <c r="B129" s="3"/>
      <c r="C129" s="3"/>
      <c r="D129" s="3"/>
      <c r="E129" s="49"/>
      <c r="F129" s="49"/>
      <c r="G129" s="49"/>
      <c r="H129" s="49"/>
      <c r="I129" s="49"/>
      <c r="J129" s="49"/>
      <c r="K129" s="49"/>
      <c r="L129" s="3"/>
      <c r="M129" s="3"/>
      <c r="N129" s="3"/>
      <c r="O129" s="3"/>
      <c r="P129" s="3"/>
      <c r="Q129" s="3"/>
      <c r="R129" s="3"/>
      <c r="S129" s="3"/>
    </row>
    <row r="130" spans="1:19" ht="12.75">
      <c r="A130" s="3"/>
      <c r="B130" s="3"/>
      <c r="C130" s="3"/>
      <c r="D130" s="3"/>
      <c r="E130" s="49"/>
      <c r="F130" s="49"/>
      <c r="G130" s="49"/>
      <c r="H130" s="49"/>
      <c r="I130" s="49"/>
      <c r="J130" s="49"/>
      <c r="K130" s="49"/>
      <c r="L130" s="3"/>
      <c r="M130" s="3"/>
      <c r="N130" s="3"/>
      <c r="O130" s="3"/>
      <c r="P130" s="3"/>
      <c r="Q130" s="3"/>
      <c r="R130" s="3"/>
      <c r="S130" s="3"/>
    </row>
    <row r="131" spans="1:19" ht="12.75">
      <c r="A131" s="3"/>
      <c r="B131" s="3"/>
      <c r="C131" s="3"/>
      <c r="D131" s="3"/>
      <c r="E131" s="49"/>
      <c r="F131" s="49"/>
      <c r="G131" s="49"/>
      <c r="H131" s="49"/>
      <c r="I131" s="49"/>
      <c r="J131" s="49"/>
      <c r="K131" s="49"/>
      <c r="L131" s="3"/>
      <c r="M131" s="3"/>
      <c r="N131" s="3"/>
      <c r="O131" s="3"/>
      <c r="P131" s="3"/>
      <c r="Q131" s="3"/>
      <c r="R131" s="3"/>
      <c r="S131" s="3"/>
    </row>
    <row r="132" spans="1:19" ht="12.75">
      <c r="A132" s="3"/>
      <c r="B132" s="3"/>
      <c r="C132" s="3"/>
      <c r="D132" s="3"/>
      <c r="E132" s="49"/>
      <c r="F132" s="49"/>
      <c r="G132" s="49"/>
      <c r="H132" s="49"/>
      <c r="I132" s="49"/>
      <c r="J132" s="49"/>
      <c r="K132" s="49"/>
      <c r="L132" s="3"/>
      <c r="M132" s="3"/>
      <c r="N132" s="3"/>
      <c r="O132" s="3"/>
      <c r="P132" s="3"/>
      <c r="Q132" s="3"/>
      <c r="R132" s="3"/>
      <c r="S132" s="3"/>
    </row>
    <row r="133" spans="1:19" ht="12.75">
      <c r="A133" s="3"/>
      <c r="B133" s="3"/>
      <c r="C133" s="3"/>
      <c r="D133" s="3"/>
      <c r="E133" s="49"/>
      <c r="F133" s="49"/>
      <c r="G133" s="49"/>
      <c r="H133" s="49"/>
      <c r="I133" s="49"/>
      <c r="J133" s="49"/>
      <c r="K133" s="49"/>
      <c r="L133" s="3"/>
      <c r="M133" s="3"/>
      <c r="N133" s="3"/>
      <c r="O133" s="3"/>
      <c r="P133" s="3"/>
      <c r="Q133" s="3"/>
      <c r="R133" s="3"/>
      <c r="S133" s="3"/>
    </row>
    <row r="134" spans="1:1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</sheetData>
  <mergeCells count="7">
    <mergeCell ref="B110:E110"/>
    <mergeCell ref="N2:N3"/>
    <mergeCell ref="O2:O3"/>
    <mergeCell ref="P2:P3"/>
    <mergeCell ref="B34:E34"/>
    <mergeCell ref="A56:K56"/>
    <mergeCell ref="B67:E67"/>
  </mergeCells>
  <pageMargins left="0.59055118110236227" right="0.39370078740157483" top="0.78740157480314965" bottom="0.59055118110236227" header="0.19685039370078741" footer="0.19685039370078741"/>
  <pageSetup paperSize="9" scale="96" orientation="landscape" r:id="rId1"/>
  <headerFooter alignWithMargins="0"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T140"/>
  <sheetViews>
    <sheetView zoomScaleNormal="100" workbookViewId="0">
      <pane ySplit="10" topLeftCell="A11" activePane="bottomLeft" state="frozen"/>
      <selection pane="bottomLeft" activeCell="D41" sqref="D41:D56"/>
    </sheetView>
  </sheetViews>
  <sheetFormatPr defaultRowHeight="12"/>
  <cols>
    <col min="1" max="1" width="6" style="1" customWidth="1"/>
    <col min="2" max="2" width="25.7109375" style="1" customWidth="1"/>
    <col min="3" max="3" width="7.7109375" style="1" customWidth="1"/>
    <col min="4" max="4" width="5.28515625" style="1" customWidth="1"/>
    <col min="5" max="5" width="7.7109375" style="1" customWidth="1"/>
    <col min="6" max="6" width="8.140625" style="1" customWidth="1"/>
    <col min="7" max="7" width="7.28515625" style="1" hidden="1" customWidth="1"/>
    <col min="8" max="8" width="9.7109375" style="1" customWidth="1"/>
    <col min="9" max="9" width="0" style="1" hidden="1" customWidth="1"/>
    <col min="10" max="11" width="7.7109375" style="1" customWidth="1"/>
    <col min="12" max="12" width="6.85546875" style="1" customWidth="1"/>
    <col min="13" max="16" width="7.7109375" style="1" customWidth="1"/>
    <col min="17" max="17" width="9.85546875" style="1" customWidth="1"/>
    <col min="18" max="18" width="11.7109375" style="1" customWidth="1"/>
    <col min="19" max="19" width="10.85546875" style="1" bestFit="1" customWidth="1"/>
    <col min="20" max="16384" width="9.140625" style="1"/>
  </cols>
  <sheetData>
    <row r="1" spans="1:18" ht="12.75" customHeight="1">
      <c r="B1" s="86" t="s">
        <v>84</v>
      </c>
      <c r="N1" s="106" t="s">
        <v>87</v>
      </c>
      <c r="O1" s="106"/>
      <c r="P1" s="106"/>
      <c r="Q1" s="106"/>
      <c r="R1" s="88"/>
    </row>
    <row r="2" spans="1:18">
      <c r="B2" s="86" t="s">
        <v>85</v>
      </c>
      <c r="N2" s="88" t="s">
        <v>88</v>
      </c>
      <c r="O2" s="88"/>
      <c r="P2" s="88"/>
      <c r="Q2" s="88"/>
    </row>
    <row r="3" spans="1:18">
      <c r="B3" s="86"/>
    </row>
    <row r="4" spans="1:18">
      <c r="B4" s="87"/>
      <c r="C4" s="1" t="s">
        <v>86</v>
      </c>
      <c r="N4" s="89"/>
      <c r="O4" s="89"/>
      <c r="P4" s="89"/>
      <c r="Q4" s="1" t="s">
        <v>74</v>
      </c>
    </row>
    <row r="7" spans="1:18">
      <c r="C7" s="2" t="s">
        <v>28</v>
      </c>
      <c r="D7" s="2"/>
      <c r="E7" s="2"/>
      <c r="F7" s="2"/>
      <c r="G7" s="2">
        <v>3702</v>
      </c>
      <c r="H7" s="2">
        <v>4070</v>
      </c>
    </row>
    <row r="8" spans="1:18">
      <c r="A8" s="65" t="s">
        <v>9</v>
      </c>
      <c r="B8" s="65" t="s">
        <v>8</v>
      </c>
      <c r="C8" s="65" t="s">
        <v>11</v>
      </c>
      <c r="D8" s="65" t="s">
        <v>2</v>
      </c>
      <c r="E8" s="65" t="s">
        <v>57</v>
      </c>
      <c r="F8" s="65" t="s">
        <v>13</v>
      </c>
      <c r="G8" s="65" t="s">
        <v>26</v>
      </c>
      <c r="H8" s="65" t="s">
        <v>16</v>
      </c>
      <c r="I8" s="65" t="s">
        <v>18</v>
      </c>
      <c r="J8" s="65" t="s">
        <v>4</v>
      </c>
      <c r="K8" s="65" t="s">
        <v>19</v>
      </c>
      <c r="L8" s="65" t="s">
        <v>21</v>
      </c>
      <c r="M8" s="65" t="s">
        <v>22</v>
      </c>
      <c r="N8" s="104" t="s">
        <v>83</v>
      </c>
      <c r="O8" s="104" t="s">
        <v>81</v>
      </c>
      <c r="P8" s="104" t="s">
        <v>82</v>
      </c>
      <c r="Q8" s="65" t="s">
        <v>16</v>
      </c>
      <c r="R8" s="65" t="s">
        <v>24</v>
      </c>
    </row>
    <row r="9" spans="1:18">
      <c r="A9" s="66" t="s">
        <v>10</v>
      </c>
      <c r="B9" s="66"/>
      <c r="C9" s="66" t="s">
        <v>5</v>
      </c>
      <c r="D9" s="66" t="s">
        <v>3</v>
      </c>
      <c r="E9" s="66" t="s">
        <v>12</v>
      </c>
      <c r="F9" s="66" t="s">
        <v>14</v>
      </c>
      <c r="G9" s="66" t="s">
        <v>15</v>
      </c>
      <c r="H9" s="66" t="s">
        <v>17</v>
      </c>
      <c r="I9" s="66"/>
      <c r="J9" s="66" t="s">
        <v>5</v>
      </c>
      <c r="K9" s="66" t="s">
        <v>20</v>
      </c>
      <c r="L9" s="66" t="s">
        <v>5</v>
      </c>
      <c r="M9" s="66"/>
      <c r="N9" s="105"/>
      <c r="O9" s="105"/>
      <c r="P9" s="105"/>
      <c r="Q9" s="66" t="s">
        <v>23</v>
      </c>
      <c r="R9" s="66" t="s">
        <v>23</v>
      </c>
    </row>
    <row r="10" spans="1:18">
      <c r="A10" s="8"/>
      <c r="B10" s="9"/>
      <c r="C10" s="9"/>
      <c r="D10" s="9"/>
      <c r="E10" s="9"/>
      <c r="F10" s="9"/>
      <c r="G10" s="9"/>
      <c r="H10" s="9"/>
      <c r="I10" s="9" t="s">
        <v>25</v>
      </c>
      <c r="J10" s="10">
        <v>0.04</v>
      </c>
      <c r="K10" s="11">
        <v>0.03</v>
      </c>
      <c r="L10" s="9"/>
      <c r="M10" s="11">
        <v>0.13300000000000001</v>
      </c>
      <c r="N10" s="11">
        <v>0.1</v>
      </c>
      <c r="O10" s="11">
        <v>0.7</v>
      </c>
      <c r="P10" s="11">
        <v>0.5</v>
      </c>
      <c r="Q10" s="9"/>
      <c r="R10" s="12"/>
    </row>
    <row r="11" spans="1:18">
      <c r="A11" s="8"/>
      <c r="B11" s="26" t="s">
        <v>27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27"/>
      <c r="R11" s="28"/>
    </row>
    <row r="12" spans="1:18">
      <c r="A12" s="83">
        <v>21593</v>
      </c>
      <c r="B12" s="67" t="s">
        <v>61</v>
      </c>
      <c r="C12" s="68">
        <v>1</v>
      </c>
      <c r="D12" s="90">
        <v>14</v>
      </c>
      <c r="E12" s="68">
        <v>6.51</v>
      </c>
      <c r="F12" s="68">
        <v>1.2</v>
      </c>
      <c r="G12" s="68"/>
      <c r="H12" s="69">
        <f t="shared" ref="H12:H15" si="0">H$7*E12*F12</f>
        <v>31794.84</v>
      </c>
      <c r="I12" s="68"/>
      <c r="J12" s="68"/>
      <c r="K12" s="68"/>
      <c r="L12" s="68"/>
      <c r="M12" s="68"/>
      <c r="N12" s="68">
        <f>(H12+J12+K12+L12+M12)*N$10</f>
        <v>3179.4840000000004</v>
      </c>
      <c r="O12" s="68">
        <f>(H12+J12+K12+L12+M12+N12)*O$10</f>
        <v>24482.0268</v>
      </c>
      <c r="P12" s="68">
        <f>(H12+J12+K12+L12+M12+N12)*P$10</f>
        <v>17487.162</v>
      </c>
      <c r="Q12" s="68">
        <f>(H12+J12+K12+L12+M12+N12+O12+P12)*C12</f>
        <v>76943.512799999997</v>
      </c>
      <c r="R12" s="70">
        <f>Q12*12</f>
        <v>923322.15359999996</v>
      </c>
    </row>
    <row r="13" spans="1:18">
      <c r="A13" s="84">
        <v>27931</v>
      </c>
      <c r="B13" s="67" t="s">
        <v>73</v>
      </c>
      <c r="C13" s="68">
        <v>0.3</v>
      </c>
      <c r="D13" s="90">
        <v>12</v>
      </c>
      <c r="E13" s="68">
        <v>5.0999999999999996</v>
      </c>
      <c r="F13" s="68">
        <v>1.2</v>
      </c>
      <c r="G13" s="68"/>
      <c r="H13" s="69">
        <f t="shared" si="0"/>
        <v>24908.399999999998</v>
      </c>
      <c r="I13" s="68"/>
      <c r="J13" s="68"/>
      <c r="K13" s="68"/>
      <c r="L13" s="68"/>
      <c r="M13" s="68"/>
      <c r="N13" s="68">
        <f t="shared" ref="N13:N24" si="1">(H13+J13+K13+L13+M13)*N$10</f>
        <v>2490.84</v>
      </c>
      <c r="O13" s="68">
        <f t="shared" ref="O13:O24" si="2">(H13+J13+K13+L13+M13+N13)*O$10</f>
        <v>19179.467999999997</v>
      </c>
      <c r="P13" s="68">
        <f t="shared" ref="P13:P24" si="3">(H13+J13+K13+L13+M13+N13)*P$10</f>
        <v>13699.619999999999</v>
      </c>
      <c r="Q13" s="68">
        <f t="shared" ref="Q13:Q24" si="4">(H13+J13+K13+L13+M13+N13+O13+P13)*C13</f>
        <v>18083.498399999997</v>
      </c>
      <c r="R13" s="70">
        <f t="shared" ref="R13:R24" si="5">Q13*12</f>
        <v>217001.98079999996</v>
      </c>
    </row>
    <row r="14" spans="1:18">
      <c r="A14" s="83">
        <v>20656</v>
      </c>
      <c r="B14" s="67" t="s">
        <v>64</v>
      </c>
      <c r="C14" s="68">
        <v>1</v>
      </c>
      <c r="D14" s="91">
        <v>12</v>
      </c>
      <c r="E14" s="69">
        <v>5.0999999999999996</v>
      </c>
      <c r="F14" s="69">
        <v>1.2</v>
      </c>
      <c r="G14" s="68"/>
      <c r="H14" s="69">
        <f t="shared" si="0"/>
        <v>24908.399999999998</v>
      </c>
      <c r="I14" s="68"/>
      <c r="J14" s="68"/>
      <c r="K14" s="68"/>
      <c r="L14" s="68"/>
      <c r="M14" s="68"/>
      <c r="N14" s="68">
        <f t="shared" si="1"/>
        <v>2490.84</v>
      </c>
      <c r="O14" s="68">
        <f t="shared" si="2"/>
        <v>19179.467999999997</v>
      </c>
      <c r="P14" s="68">
        <f t="shared" si="3"/>
        <v>13699.619999999999</v>
      </c>
      <c r="Q14" s="68">
        <f t="shared" si="4"/>
        <v>60278.327999999994</v>
      </c>
      <c r="R14" s="70">
        <f t="shared" si="5"/>
        <v>723339.93599999999</v>
      </c>
    </row>
    <row r="15" spans="1:18">
      <c r="A15" s="83"/>
      <c r="B15" s="67" t="s">
        <v>76</v>
      </c>
      <c r="C15" s="68">
        <v>0.5</v>
      </c>
      <c r="D15" s="90">
        <v>9</v>
      </c>
      <c r="E15" s="68">
        <v>3.53</v>
      </c>
      <c r="F15" s="68">
        <v>1.2</v>
      </c>
      <c r="G15" s="68"/>
      <c r="H15" s="69">
        <f t="shared" si="0"/>
        <v>17240.519999999997</v>
      </c>
      <c r="I15" s="68"/>
      <c r="J15" s="68"/>
      <c r="K15" s="68"/>
      <c r="L15" s="68"/>
      <c r="M15" s="68"/>
      <c r="N15" s="68">
        <f t="shared" si="1"/>
        <v>1724.0519999999997</v>
      </c>
      <c r="O15" s="68">
        <f t="shared" si="2"/>
        <v>13275.200399999996</v>
      </c>
      <c r="P15" s="68">
        <f t="shared" si="3"/>
        <v>9482.2859999999982</v>
      </c>
      <c r="Q15" s="68">
        <f t="shared" si="4"/>
        <v>20861.029199999997</v>
      </c>
      <c r="R15" s="70">
        <f t="shared" si="5"/>
        <v>250332.35039999997</v>
      </c>
    </row>
    <row r="16" spans="1:18">
      <c r="A16" s="84">
        <v>27728</v>
      </c>
      <c r="B16" s="67" t="s">
        <v>60</v>
      </c>
      <c r="C16" s="68">
        <v>0.5</v>
      </c>
      <c r="D16" s="90">
        <v>12</v>
      </c>
      <c r="E16" s="68">
        <v>5.0999999999999996</v>
      </c>
      <c r="F16" s="68">
        <v>1.2</v>
      </c>
      <c r="G16" s="68"/>
      <c r="H16" s="69">
        <f>H$7*E16*F16</f>
        <v>24908.399999999998</v>
      </c>
      <c r="I16" s="68"/>
      <c r="J16" s="68"/>
      <c r="K16" s="68"/>
      <c r="L16" s="68"/>
      <c r="M16" s="68"/>
      <c r="N16" s="68">
        <f t="shared" si="1"/>
        <v>2490.84</v>
      </c>
      <c r="O16" s="68">
        <f t="shared" si="2"/>
        <v>19179.467999999997</v>
      </c>
      <c r="P16" s="68">
        <f t="shared" si="3"/>
        <v>13699.619999999999</v>
      </c>
      <c r="Q16" s="68">
        <f t="shared" si="4"/>
        <v>30139.163999999997</v>
      </c>
      <c r="R16" s="70">
        <f t="shared" si="5"/>
        <v>361669.96799999999</v>
      </c>
    </row>
    <row r="17" spans="1:18">
      <c r="A17" s="84">
        <v>26583</v>
      </c>
      <c r="B17" s="67" t="s">
        <v>65</v>
      </c>
      <c r="C17" s="68">
        <v>0.2</v>
      </c>
      <c r="D17" s="90">
        <v>6</v>
      </c>
      <c r="E17" s="68">
        <v>2.44</v>
      </c>
      <c r="F17" s="68">
        <v>1.2</v>
      </c>
      <c r="G17" s="68"/>
      <c r="H17" s="69">
        <f>H$7*E17*F17</f>
        <v>11916.96</v>
      </c>
      <c r="I17" s="68"/>
      <c r="J17" s="68"/>
      <c r="K17" s="68"/>
      <c r="L17" s="68"/>
      <c r="M17" s="68"/>
      <c r="N17" s="68">
        <f t="shared" si="1"/>
        <v>1191.6959999999999</v>
      </c>
      <c r="O17" s="68">
        <f t="shared" si="2"/>
        <v>9176.0591999999979</v>
      </c>
      <c r="P17" s="68">
        <f t="shared" si="3"/>
        <v>6554.3279999999995</v>
      </c>
      <c r="Q17" s="68">
        <f t="shared" si="4"/>
        <v>5767.8086400000002</v>
      </c>
      <c r="R17" s="70">
        <f t="shared" si="5"/>
        <v>69213.703680000006</v>
      </c>
    </row>
    <row r="18" spans="1:18">
      <c r="A18" s="84">
        <v>22659</v>
      </c>
      <c r="B18" s="67" t="s">
        <v>66</v>
      </c>
      <c r="C18" s="68">
        <v>0.2</v>
      </c>
      <c r="D18" s="90">
        <v>9</v>
      </c>
      <c r="E18" s="68">
        <v>3.53</v>
      </c>
      <c r="F18" s="68">
        <v>1.2</v>
      </c>
      <c r="G18" s="68"/>
      <c r="H18" s="69">
        <f t="shared" ref="H18:H24" si="6">H$7*E18*F18</f>
        <v>17240.519999999997</v>
      </c>
      <c r="I18" s="68"/>
      <c r="J18" s="68"/>
      <c r="K18" s="68"/>
      <c r="L18" s="68"/>
      <c r="M18" s="68"/>
      <c r="N18" s="68">
        <f t="shared" si="1"/>
        <v>1724.0519999999997</v>
      </c>
      <c r="O18" s="68">
        <f t="shared" si="2"/>
        <v>13275.200399999996</v>
      </c>
      <c r="P18" s="68">
        <f t="shared" si="3"/>
        <v>9482.2859999999982</v>
      </c>
      <c r="Q18" s="68">
        <f t="shared" si="4"/>
        <v>8344.4116799999993</v>
      </c>
      <c r="R18" s="70">
        <f t="shared" si="5"/>
        <v>100132.94016</v>
      </c>
    </row>
    <row r="19" spans="1:18">
      <c r="A19" s="84">
        <v>27931</v>
      </c>
      <c r="B19" s="67" t="s">
        <v>77</v>
      </c>
      <c r="C19" s="68">
        <v>0.3</v>
      </c>
      <c r="D19" s="90">
        <v>9</v>
      </c>
      <c r="E19" s="68">
        <v>3.53</v>
      </c>
      <c r="F19" s="68">
        <v>1.2</v>
      </c>
      <c r="G19" s="68"/>
      <c r="H19" s="69">
        <f t="shared" si="6"/>
        <v>17240.519999999997</v>
      </c>
      <c r="I19" s="68"/>
      <c r="J19" s="68"/>
      <c r="K19" s="68"/>
      <c r="L19" s="68"/>
      <c r="M19" s="68"/>
      <c r="N19" s="68">
        <f t="shared" si="1"/>
        <v>1724.0519999999997</v>
      </c>
      <c r="O19" s="68">
        <f t="shared" si="2"/>
        <v>13275.200399999996</v>
      </c>
      <c r="P19" s="68">
        <f t="shared" si="3"/>
        <v>9482.2859999999982</v>
      </c>
      <c r="Q19" s="68">
        <f t="shared" si="4"/>
        <v>12516.617519999998</v>
      </c>
      <c r="R19" s="70">
        <f t="shared" si="5"/>
        <v>150199.41023999997</v>
      </c>
    </row>
    <row r="20" spans="1:18">
      <c r="A20" s="84"/>
      <c r="B20" s="67" t="s">
        <v>78</v>
      </c>
      <c r="C20" s="68">
        <v>0.3</v>
      </c>
      <c r="D20" s="90">
        <v>9</v>
      </c>
      <c r="E20" s="68">
        <v>3.53</v>
      </c>
      <c r="F20" s="68">
        <v>1.2</v>
      </c>
      <c r="G20" s="68"/>
      <c r="H20" s="69">
        <f t="shared" si="6"/>
        <v>17240.519999999997</v>
      </c>
      <c r="I20" s="68"/>
      <c r="J20" s="68"/>
      <c r="K20" s="68"/>
      <c r="L20" s="68"/>
      <c r="M20" s="68"/>
      <c r="N20" s="68">
        <f t="shared" si="1"/>
        <v>1724.0519999999997</v>
      </c>
      <c r="O20" s="68">
        <f t="shared" si="2"/>
        <v>13275.200399999996</v>
      </c>
      <c r="P20" s="68">
        <f t="shared" si="3"/>
        <v>9482.2859999999982</v>
      </c>
      <c r="Q20" s="68">
        <f t="shared" si="4"/>
        <v>12516.617519999998</v>
      </c>
      <c r="R20" s="70">
        <f t="shared" si="5"/>
        <v>150199.41023999997</v>
      </c>
    </row>
    <row r="21" spans="1:18">
      <c r="A21" s="84">
        <v>21792</v>
      </c>
      <c r="B21" s="67" t="s">
        <v>67</v>
      </c>
      <c r="C21" s="68">
        <v>0.25</v>
      </c>
      <c r="D21" s="90">
        <v>3</v>
      </c>
      <c r="E21" s="69">
        <v>1.69</v>
      </c>
      <c r="F21" s="69">
        <v>1.2</v>
      </c>
      <c r="G21" s="68"/>
      <c r="H21" s="69">
        <f t="shared" si="6"/>
        <v>8253.9599999999991</v>
      </c>
      <c r="I21" s="68"/>
      <c r="J21" s="68"/>
      <c r="K21" s="68"/>
      <c r="L21" s="68"/>
      <c r="M21" s="68"/>
      <c r="N21" s="68">
        <f t="shared" si="1"/>
        <v>825.39599999999996</v>
      </c>
      <c r="O21" s="68">
        <f t="shared" si="2"/>
        <v>6355.5491999999995</v>
      </c>
      <c r="P21" s="68">
        <f t="shared" si="3"/>
        <v>4539.6779999999999</v>
      </c>
      <c r="Q21" s="68">
        <f t="shared" si="4"/>
        <v>4993.6458000000002</v>
      </c>
      <c r="R21" s="70">
        <f t="shared" si="5"/>
        <v>59923.749600000003</v>
      </c>
    </row>
    <row r="22" spans="1:18">
      <c r="A22" s="83"/>
      <c r="B22" s="67" t="s">
        <v>80</v>
      </c>
      <c r="C22" s="68">
        <v>0.5</v>
      </c>
      <c r="D22" s="90">
        <v>5</v>
      </c>
      <c r="E22" s="68">
        <v>2.16</v>
      </c>
      <c r="F22" s="68">
        <v>1.2</v>
      </c>
      <c r="G22" s="68"/>
      <c r="H22" s="69">
        <f t="shared" si="6"/>
        <v>10549.44</v>
      </c>
      <c r="I22" s="68"/>
      <c r="J22" s="68"/>
      <c r="K22" s="68"/>
      <c r="L22" s="68"/>
      <c r="M22" s="68"/>
      <c r="N22" s="68">
        <f t="shared" si="1"/>
        <v>1054.9440000000002</v>
      </c>
      <c r="O22" s="68">
        <f t="shared" si="2"/>
        <v>8123.0687999999991</v>
      </c>
      <c r="P22" s="68">
        <f t="shared" si="3"/>
        <v>5802.192</v>
      </c>
      <c r="Q22" s="68">
        <f t="shared" si="4"/>
        <v>12764.822399999999</v>
      </c>
      <c r="R22" s="70">
        <f t="shared" si="5"/>
        <v>153177.8688</v>
      </c>
    </row>
    <row r="23" spans="1:18">
      <c r="A23" s="84">
        <v>23998</v>
      </c>
      <c r="B23" s="72" t="s">
        <v>6</v>
      </c>
      <c r="C23" s="69">
        <v>2</v>
      </c>
      <c r="D23" s="91">
        <v>10</v>
      </c>
      <c r="E23" s="69">
        <v>3.99</v>
      </c>
      <c r="F23" s="69">
        <v>1.2</v>
      </c>
      <c r="G23" s="69"/>
      <c r="H23" s="69">
        <f t="shared" si="6"/>
        <v>19487.16</v>
      </c>
      <c r="I23" s="69"/>
      <c r="J23" s="69"/>
      <c r="K23" s="69"/>
      <c r="L23" s="69"/>
      <c r="M23" s="69"/>
      <c r="N23" s="68">
        <f t="shared" si="1"/>
        <v>1948.7160000000001</v>
      </c>
      <c r="O23" s="68">
        <f t="shared" si="2"/>
        <v>15005.1132</v>
      </c>
      <c r="P23" s="68">
        <f t="shared" si="3"/>
        <v>10717.938</v>
      </c>
      <c r="Q23" s="68">
        <f t="shared" si="4"/>
        <v>94317.854399999997</v>
      </c>
      <c r="R23" s="70">
        <f t="shared" si="5"/>
        <v>1131814.2527999999</v>
      </c>
    </row>
    <row r="24" spans="1:18">
      <c r="A24" s="84">
        <v>19258</v>
      </c>
      <c r="B24" s="72" t="s">
        <v>72</v>
      </c>
      <c r="C24" s="69">
        <v>0.25</v>
      </c>
      <c r="D24" s="91">
        <v>1</v>
      </c>
      <c r="E24" s="69">
        <v>1</v>
      </c>
      <c r="F24" s="69">
        <v>1.2</v>
      </c>
      <c r="G24" s="69"/>
      <c r="H24" s="69">
        <f t="shared" si="6"/>
        <v>4884</v>
      </c>
      <c r="I24" s="69"/>
      <c r="J24" s="69"/>
      <c r="K24" s="69"/>
      <c r="L24" s="69"/>
      <c r="M24" s="69"/>
      <c r="N24" s="68">
        <f t="shared" si="1"/>
        <v>488.40000000000003</v>
      </c>
      <c r="O24" s="68">
        <f t="shared" si="2"/>
        <v>3760.6799999999994</v>
      </c>
      <c r="P24" s="68">
        <f t="shared" si="3"/>
        <v>2686.2</v>
      </c>
      <c r="Q24" s="68">
        <f t="shared" si="4"/>
        <v>2954.8199999999997</v>
      </c>
      <c r="R24" s="70">
        <f t="shared" si="5"/>
        <v>35457.839999999997</v>
      </c>
    </row>
    <row r="25" spans="1:18">
      <c r="A25" s="84"/>
      <c r="B25" s="72" t="s">
        <v>29</v>
      </c>
      <c r="C25" s="69">
        <f>SUM(C12:C24)</f>
        <v>7.3</v>
      </c>
      <c r="D25" s="69"/>
      <c r="E25" s="69"/>
      <c r="F25" s="69"/>
      <c r="G25" s="69"/>
      <c r="H25" s="69">
        <f>(H23*C23)+H12*C12+H13*C13+H22*C22+H14*C14+H15*C15+H16*C16+H17*C17+H18*C18+H19*C19+H20*C20+H21*C21+H24*C24</f>
        <v>148959.55799999996</v>
      </c>
      <c r="I25" s="69"/>
      <c r="J25" s="69"/>
      <c r="K25" s="69"/>
      <c r="L25" s="69"/>
      <c r="M25" s="69"/>
      <c r="N25" s="69"/>
      <c r="O25" s="69"/>
      <c r="P25" s="69"/>
      <c r="Q25" s="69"/>
      <c r="R25" s="73">
        <f>SUM(R12:R24)</f>
        <v>4325785.5643199999</v>
      </c>
    </row>
    <row r="26" spans="1:18">
      <c r="A26" s="84"/>
      <c r="B26" s="72" t="s">
        <v>38</v>
      </c>
      <c r="C26" s="69">
        <v>0.1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3"/>
    </row>
    <row r="27" spans="1:18">
      <c r="A27" s="71"/>
      <c r="B27" s="72" t="s">
        <v>40</v>
      </c>
      <c r="C27" s="69">
        <v>0.7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73"/>
    </row>
    <row r="28" spans="1:18">
      <c r="A28" s="71"/>
      <c r="B28" s="72" t="s">
        <v>39</v>
      </c>
      <c r="C28" s="69">
        <v>0.5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3"/>
    </row>
    <row r="29" spans="1:18">
      <c r="A29" s="71"/>
      <c r="B29" s="74" t="s">
        <v>29</v>
      </c>
      <c r="C29" s="75">
        <f>C25</f>
        <v>7.3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3">
        <f>SUM(R25:R28)</f>
        <v>4325785.5643199999</v>
      </c>
    </row>
    <row r="30" spans="1:18" ht="24">
      <c r="A30" s="71"/>
      <c r="B30" s="74" t="s">
        <v>63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</row>
    <row r="31" spans="1:18">
      <c r="A31" s="84">
        <v>15643</v>
      </c>
      <c r="B31" s="72" t="s">
        <v>1</v>
      </c>
      <c r="C31" s="69">
        <v>4.5</v>
      </c>
      <c r="D31" s="91">
        <v>4</v>
      </c>
      <c r="E31" s="69">
        <v>1.91</v>
      </c>
      <c r="F31" s="69">
        <v>1.2</v>
      </c>
      <c r="G31" s="69"/>
      <c r="H31" s="69">
        <f t="shared" ref="H31:H34" si="7">H$7*E31*F31</f>
        <v>9328.4399999999987</v>
      </c>
      <c r="I31" s="69"/>
      <c r="J31" s="69">
        <f>H31*J10</f>
        <v>373.13759999999996</v>
      </c>
      <c r="K31" s="69">
        <f>H31*K10</f>
        <v>279.85319999999996</v>
      </c>
      <c r="L31" s="69"/>
      <c r="M31" s="69">
        <f>H31*0.133</f>
        <v>1240.6825199999998</v>
      </c>
      <c r="N31" s="68">
        <f>(H31+J31+K31+L31+M31)*N$10</f>
        <v>1122.2113319999999</v>
      </c>
      <c r="O31" s="68">
        <f>(H31+J31+K31+L31+M31+N31)*O$10</f>
        <v>8641.0272563999988</v>
      </c>
      <c r="P31" s="68">
        <f>(H31+J31+K31+L31+M31+N31)*P$10</f>
        <v>6172.1623259999997</v>
      </c>
      <c r="Q31" s="68">
        <f>(H31+J31+K31+L31+M31+N31+O31+P31)*C31</f>
        <v>122208.81405479999</v>
      </c>
      <c r="R31" s="73">
        <f>Q31*12</f>
        <v>1466505.7686576</v>
      </c>
    </row>
    <row r="32" spans="1:18" ht="24">
      <c r="A32" s="84">
        <v>18531</v>
      </c>
      <c r="B32" s="72" t="s">
        <v>33</v>
      </c>
      <c r="C32" s="69">
        <v>2</v>
      </c>
      <c r="D32" s="91">
        <v>3</v>
      </c>
      <c r="E32" s="69">
        <v>1.69</v>
      </c>
      <c r="F32" s="69">
        <v>1.2</v>
      </c>
      <c r="G32" s="69"/>
      <c r="H32" s="69">
        <f t="shared" si="7"/>
        <v>8253.9599999999991</v>
      </c>
      <c r="I32" s="69"/>
      <c r="J32" s="69">
        <f>H32*J10</f>
        <v>330.15839999999997</v>
      </c>
      <c r="K32" s="69"/>
      <c r="L32" s="69"/>
      <c r="M32" s="69"/>
      <c r="N32" s="68">
        <f>(H32+J32+K32+L32+M32)*N$10</f>
        <v>858.41183999999998</v>
      </c>
      <c r="O32" s="68">
        <f>(H32+J32+K32+L32+M32+N32)*O$10</f>
        <v>6609.7711679999993</v>
      </c>
      <c r="P32" s="68">
        <f>(H32+J32+K32+L32+M32+N32)*P$10</f>
        <v>4721.26512</v>
      </c>
      <c r="Q32" s="68">
        <f>(H32+J32+K32+L32+M32+N32+O32+P32)*C32</f>
        <v>41547.133055999999</v>
      </c>
      <c r="R32" s="73">
        <f t="shared" ref="R32:R34" si="8">Q32*12</f>
        <v>498565.59667200001</v>
      </c>
    </row>
    <row r="33" spans="1:20">
      <c r="A33" s="84">
        <v>19906</v>
      </c>
      <c r="B33" s="72" t="s">
        <v>30</v>
      </c>
      <c r="C33" s="69">
        <v>1</v>
      </c>
      <c r="D33" s="91">
        <v>5</v>
      </c>
      <c r="E33" s="69">
        <v>2.16</v>
      </c>
      <c r="F33" s="69">
        <v>1.2</v>
      </c>
      <c r="G33" s="69"/>
      <c r="H33" s="69">
        <f t="shared" si="7"/>
        <v>10549.44</v>
      </c>
      <c r="I33" s="69"/>
      <c r="J33" s="69">
        <f>H33*J10</f>
        <v>421.97760000000005</v>
      </c>
      <c r="K33" s="69"/>
      <c r="L33" s="69"/>
      <c r="M33" s="69"/>
      <c r="N33" s="68">
        <f>(H33+J33+K33+L33+M33)*N$10</f>
        <v>1097.1417600000002</v>
      </c>
      <c r="O33" s="68">
        <f>(H33+J33+K33+L33+M33+N33)*O$10</f>
        <v>8447.9915519999995</v>
      </c>
      <c r="P33" s="68">
        <f>(H33+J33+K33+L33+M33+N33)*P$10</f>
        <v>6034.2796800000006</v>
      </c>
      <c r="Q33" s="68">
        <f>(H33+J33+K33+L33+M33+N33+O33+P33)*C33</f>
        <v>26550.830591999998</v>
      </c>
      <c r="R33" s="73">
        <f t="shared" si="8"/>
        <v>318609.96710399998</v>
      </c>
    </row>
    <row r="34" spans="1:20">
      <c r="A34" s="84">
        <v>19861</v>
      </c>
      <c r="B34" s="72" t="s">
        <v>79</v>
      </c>
      <c r="C34" s="69">
        <v>0.5</v>
      </c>
      <c r="D34" s="91">
        <v>7</v>
      </c>
      <c r="E34" s="69">
        <v>2.76</v>
      </c>
      <c r="F34" s="69">
        <v>1.2</v>
      </c>
      <c r="G34" s="69"/>
      <c r="H34" s="69">
        <f t="shared" si="7"/>
        <v>13479.839999999998</v>
      </c>
      <c r="I34" s="69"/>
      <c r="J34" s="69">
        <f>H34*J10</f>
        <v>539.19359999999995</v>
      </c>
      <c r="K34" s="69"/>
      <c r="L34" s="69"/>
      <c r="M34" s="69"/>
      <c r="N34" s="68">
        <f>(H34+J34+K34+L34+M34)*N$10</f>
        <v>1401.90336</v>
      </c>
      <c r="O34" s="68">
        <f>(H34+J34+K34+L34+M34+N34)*O$10</f>
        <v>10794.655871999999</v>
      </c>
      <c r="P34" s="68">
        <f>(H34+J34+K34+L34+M34+N34)*P$10</f>
        <v>7710.4684799999995</v>
      </c>
      <c r="Q34" s="68">
        <f>(H34+J34+K34+L34+M34+N34+O34+P34)*C34</f>
        <v>16963.030655999999</v>
      </c>
      <c r="R34" s="73">
        <f t="shared" si="8"/>
        <v>203556.36787199997</v>
      </c>
    </row>
    <row r="35" spans="1:20">
      <c r="A35" s="84"/>
      <c r="B35" s="72" t="s">
        <v>29</v>
      </c>
      <c r="C35" s="69">
        <f>SUM(C31:C34)</f>
        <v>8</v>
      </c>
      <c r="D35" s="69"/>
      <c r="E35" s="69"/>
      <c r="F35" s="69"/>
      <c r="G35" s="69"/>
      <c r="H35" s="69">
        <f>(H31*C31)+C32*H32+H33*C33+C34*H34</f>
        <v>75775.259999999995</v>
      </c>
      <c r="I35" s="69"/>
      <c r="J35" s="69"/>
      <c r="K35" s="69"/>
      <c r="L35" s="69"/>
      <c r="M35" s="69"/>
      <c r="N35" s="69"/>
      <c r="O35" s="69"/>
      <c r="P35" s="69"/>
      <c r="Q35" s="69"/>
      <c r="R35" s="73">
        <f>SUM(R31:R34)</f>
        <v>2487237.7003055997</v>
      </c>
      <c r="S35" s="7"/>
    </row>
    <row r="36" spans="1:20">
      <c r="A36" s="84"/>
      <c r="B36" s="72" t="s">
        <v>38</v>
      </c>
      <c r="C36" s="69">
        <v>0.1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"/>
    </row>
    <row r="37" spans="1:20">
      <c r="A37" s="84"/>
      <c r="B37" s="72" t="s">
        <v>40</v>
      </c>
      <c r="C37" s="69">
        <v>0.7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73"/>
      <c r="S37" s="7"/>
      <c r="T37" s="7"/>
    </row>
    <row r="38" spans="1:20">
      <c r="A38" s="84"/>
      <c r="B38" s="72" t="s">
        <v>39</v>
      </c>
      <c r="C38" s="69">
        <v>0.5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7"/>
      <c r="T38" s="7"/>
    </row>
    <row r="39" spans="1:20">
      <c r="A39" s="84"/>
      <c r="B39" s="74" t="s">
        <v>29</v>
      </c>
      <c r="C39" s="75">
        <f>C35</f>
        <v>8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3">
        <f>R35+R36+R37+R38</f>
        <v>2487237.7003055997</v>
      </c>
    </row>
    <row r="40" spans="1:20">
      <c r="A40" s="84"/>
      <c r="B40" s="107" t="s">
        <v>58</v>
      </c>
      <c r="C40" s="107"/>
      <c r="D40" s="107"/>
      <c r="E40" s="107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</row>
    <row r="41" spans="1:20">
      <c r="A41" s="84">
        <v>18560</v>
      </c>
      <c r="B41" s="72" t="s">
        <v>0</v>
      </c>
      <c r="C41" s="69">
        <v>0.5</v>
      </c>
      <c r="D41" s="91">
        <v>3</v>
      </c>
      <c r="E41" s="69">
        <v>1.69</v>
      </c>
      <c r="F41" s="69">
        <v>1.2</v>
      </c>
      <c r="G41" s="69"/>
      <c r="H41" s="69">
        <f t="shared" ref="H41:H42" si="9">H$7*E41*F41</f>
        <v>8253.9599999999991</v>
      </c>
      <c r="I41" s="69"/>
      <c r="J41" s="69"/>
      <c r="K41" s="69"/>
      <c r="L41" s="69"/>
      <c r="M41" s="69"/>
      <c r="N41" s="68">
        <f>(H41+J41+K41+L41+M41)*N$10</f>
        <v>825.39599999999996</v>
      </c>
      <c r="O41" s="68">
        <f>(H41+J41+K41+L41+M41+N41)*O$10</f>
        <v>6355.5491999999995</v>
      </c>
      <c r="P41" s="68">
        <f>(H41+J41+K41+L41+M41+N41)*P$10</f>
        <v>4539.6779999999999</v>
      </c>
      <c r="Q41" s="68">
        <f>(H41+J41+K41+L41+M41+N41+O41+P41)*C41</f>
        <v>9987.2916000000005</v>
      </c>
      <c r="R41" s="73">
        <f>Q41*12</f>
        <v>119847.49920000001</v>
      </c>
    </row>
    <row r="42" spans="1:20">
      <c r="A42" s="84">
        <v>11471</v>
      </c>
      <c r="B42" s="72" t="s">
        <v>7</v>
      </c>
      <c r="C42" s="69">
        <v>0.3</v>
      </c>
      <c r="D42" s="91">
        <v>1</v>
      </c>
      <c r="E42" s="69">
        <v>1</v>
      </c>
      <c r="F42" s="69">
        <v>1.2</v>
      </c>
      <c r="G42" s="69"/>
      <c r="H42" s="69">
        <f t="shared" si="9"/>
        <v>4884</v>
      </c>
      <c r="I42" s="69"/>
      <c r="J42" s="69"/>
      <c r="K42" s="69">
        <f>H42*K10</f>
        <v>146.51999999999998</v>
      </c>
      <c r="L42" s="69"/>
      <c r="M42" s="69"/>
      <c r="N42" s="68">
        <f>(H42+J42+K42+L42+M42)*0.4</f>
        <v>2012.2080000000003</v>
      </c>
      <c r="O42" s="68">
        <f>(H42+J42+K42+L42+M42+N42)*O$10</f>
        <v>4929.9096</v>
      </c>
      <c r="P42" s="68">
        <f>(H42+J42+K42+L42+M42+N42)*P$10</f>
        <v>3521.3640000000005</v>
      </c>
      <c r="Q42" s="68">
        <f>(H42+J42+K42+L42+M42+N42+O42+P42)*C42</f>
        <v>4648.2004800000004</v>
      </c>
      <c r="R42" s="73">
        <f>Q42*12</f>
        <v>55778.405760000009</v>
      </c>
    </row>
    <row r="43" spans="1:20">
      <c r="A43" s="71"/>
      <c r="B43" s="72" t="s">
        <v>29</v>
      </c>
      <c r="C43" s="69">
        <f>SUM(C41:C42)</f>
        <v>0.8</v>
      </c>
      <c r="D43" s="91"/>
      <c r="E43" s="69"/>
      <c r="F43" s="69"/>
      <c r="G43" s="69"/>
      <c r="H43" s="69">
        <f>(H41*C41)+(H42*C42)</f>
        <v>5592.1799999999994</v>
      </c>
      <c r="I43" s="69"/>
      <c r="J43" s="69"/>
      <c r="K43" s="69"/>
      <c r="L43" s="69"/>
      <c r="M43" s="69"/>
      <c r="N43" s="69"/>
      <c r="O43" s="69"/>
      <c r="P43" s="69"/>
      <c r="Q43" s="69"/>
      <c r="R43" s="73">
        <f>SUM(R41:R42)</f>
        <v>175625.90496000001</v>
      </c>
    </row>
    <row r="44" spans="1:20">
      <c r="A44" s="71"/>
      <c r="B44" s="72" t="s">
        <v>38</v>
      </c>
      <c r="C44" s="69">
        <v>0.25</v>
      </c>
      <c r="D44" s="91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73"/>
    </row>
    <row r="45" spans="1:20">
      <c r="A45" s="71"/>
      <c r="B45" s="72" t="s">
        <v>40</v>
      </c>
      <c r="C45" s="69">
        <v>0.7</v>
      </c>
      <c r="D45" s="91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</row>
    <row r="46" spans="1:20">
      <c r="A46" s="71"/>
      <c r="B46" s="72" t="s">
        <v>39</v>
      </c>
      <c r="C46" s="69">
        <v>0.5</v>
      </c>
      <c r="D46" s="91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73"/>
    </row>
    <row r="47" spans="1:20">
      <c r="A47" s="71"/>
      <c r="B47" s="74" t="s">
        <v>29</v>
      </c>
      <c r="C47" s="75">
        <f>C43</f>
        <v>0.8</v>
      </c>
      <c r="D47" s="91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3">
        <f>SUM(R43:R46)</f>
        <v>175625.90496000001</v>
      </c>
    </row>
    <row r="48" spans="1:20">
      <c r="A48" s="71"/>
      <c r="B48" s="74" t="s">
        <v>59</v>
      </c>
      <c r="C48" s="69"/>
      <c r="D48" s="91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</row>
    <row r="49" spans="1:18">
      <c r="A49" s="85">
        <v>11442</v>
      </c>
      <c r="B49" s="72" t="s">
        <v>34</v>
      </c>
      <c r="C49" s="69">
        <v>0.5</v>
      </c>
      <c r="D49" s="91">
        <v>5</v>
      </c>
      <c r="E49" s="69">
        <v>2.16</v>
      </c>
      <c r="F49" s="69">
        <v>1.2</v>
      </c>
      <c r="G49" s="69"/>
      <c r="H49" s="69">
        <f t="shared" ref="H49" si="10">H$7*E49*F49</f>
        <v>10549.44</v>
      </c>
      <c r="I49" s="69"/>
      <c r="J49" s="69"/>
      <c r="K49" s="69">
        <f>H49*K10</f>
        <v>316.48320000000001</v>
      </c>
      <c r="L49" s="69">
        <f>H49*0.1</f>
        <v>1054.9440000000002</v>
      </c>
      <c r="M49" s="69"/>
      <c r="N49" s="68">
        <f>(H49+J49+K49+L49+M49)*N$10</f>
        <v>1192.08672</v>
      </c>
      <c r="O49" s="68">
        <f>(H49+J49+K49+L49+M49+N49)*O$10</f>
        <v>9179.0677439999999</v>
      </c>
      <c r="P49" s="68">
        <f>(H49+J49+K49+L49+M49+N49)*P$10</f>
        <v>6556.47696</v>
      </c>
      <c r="Q49" s="68">
        <f>(H49+J49+K49+L49+M49+N49+O49+P49)*C49</f>
        <v>14424.249312</v>
      </c>
      <c r="R49" s="73">
        <f>Q49*12</f>
        <v>173090.991744</v>
      </c>
    </row>
    <row r="50" spans="1:18">
      <c r="A50" s="85"/>
      <c r="B50" s="72" t="s">
        <v>29</v>
      </c>
      <c r="C50" s="69">
        <f>SUM(C49)</f>
        <v>0.5</v>
      </c>
      <c r="D50" s="91"/>
      <c r="E50" s="69"/>
      <c r="F50" s="69"/>
      <c r="G50" s="69"/>
      <c r="H50" s="69">
        <f>H49*0.5</f>
        <v>5274.72</v>
      </c>
      <c r="I50" s="69"/>
      <c r="J50" s="69"/>
      <c r="K50" s="69"/>
      <c r="L50" s="69"/>
      <c r="M50" s="69"/>
      <c r="N50" s="69"/>
      <c r="O50" s="69"/>
      <c r="P50" s="69"/>
      <c r="Q50" s="69"/>
      <c r="R50" s="73">
        <f>SUM(R49)</f>
        <v>173090.991744</v>
      </c>
    </row>
    <row r="51" spans="1:18">
      <c r="A51" s="85"/>
      <c r="B51" s="72" t="s">
        <v>38</v>
      </c>
      <c r="C51" s="69">
        <v>0.1</v>
      </c>
      <c r="D51" s="91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73"/>
    </row>
    <row r="52" spans="1:18">
      <c r="A52" s="85"/>
      <c r="B52" s="72" t="s">
        <v>40</v>
      </c>
      <c r="C52" s="69">
        <v>0.7</v>
      </c>
      <c r="D52" s="91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3"/>
    </row>
    <row r="53" spans="1:18">
      <c r="A53" s="85"/>
      <c r="B53" s="72" t="s">
        <v>39</v>
      </c>
      <c r="C53" s="69">
        <v>0.5</v>
      </c>
      <c r="D53" s="91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73"/>
    </row>
    <row r="54" spans="1:18">
      <c r="A54" s="85"/>
      <c r="B54" s="74" t="s">
        <v>29</v>
      </c>
      <c r="C54" s="75">
        <f>C50</f>
        <v>0.5</v>
      </c>
      <c r="D54" s="91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3">
        <f>SUM(R50:R53)</f>
        <v>173090.991744</v>
      </c>
    </row>
    <row r="55" spans="1:18">
      <c r="A55" s="85">
        <v>11442</v>
      </c>
      <c r="B55" s="72" t="s">
        <v>55</v>
      </c>
      <c r="C55" s="69">
        <v>0.5</v>
      </c>
      <c r="D55" s="91">
        <v>1</v>
      </c>
      <c r="E55" s="69">
        <v>2.16</v>
      </c>
      <c r="F55" s="69">
        <v>1.2</v>
      </c>
      <c r="G55" s="69"/>
      <c r="H55" s="69">
        <f t="shared" ref="H55" si="11">H$7*E55*F55</f>
        <v>10549.44</v>
      </c>
      <c r="I55" s="69"/>
      <c r="J55" s="69">
        <f>H55*J10</f>
        <v>421.97760000000005</v>
      </c>
      <c r="K55" s="69"/>
      <c r="L55" s="69">
        <f>H55*10%</f>
        <v>1054.9440000000002</v>
      </c>
      <c r="M55" s="69"/>
      <c r="N55" s="68">
        <f>(H55+J55+K55+L55+M55)*N$10</f>
        <v>1202.63616</v>
      </c>
      <c r="O55" s="68">
        <f>(H55+J55+K55+L55+M55+N55)*O$10</f>
        <v>9260.2984319999996</v>
      </c>
      <c r="P55" s="68">
        <f>(H55+J55+K55+L55+M55+N55)*P$10</f>
        <v>6614.4988800000001</v>
      </c>
      <c r="Q55" s="68">
        <f>(H55+J55+K55+L55+M55+N55+O55+P55)*C55</f>
        <v>14551.897536</v>
      </c>
      <c r="R55" s="73">
        <f>Q55*12</f>
        <v>174622.77043199999</v>
      </c>
    </row>
    <row r="56" spans="1:18" ht="12.75" customHeight="1">
      <c r="A56" s="85"/>
      <c r="B56" s="72" t="s">
        <v>29</v>
      </c>
      <c r="C56" s="69">
        <f>SUM(C55:C55)</f>
        <v>0.5</v>
      </c>
      <c r="D56" s="91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73">
        <f>SUM(R55:R55)</f>
        <v>174622.77043199999</v>
      </c>
    </row>
    <row r="57" spans="1:18">
      <c r="A57" s="85"/>
      <c r="B57" s="72" t="s">
        <v>38</v>
      </c>
      <c r="C57" s="69">
        <v>0.1</v>
      </c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73"/>
    </row>
    <row r="58" spans="1:18">
      <c r="A58" s="85"/>
      <c r="B58" s="72" t="s">
        <v>40</v>
      </c>
      <c r="C58" s="69">
        <v>0.7</v>
      </c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73"/>
    </row>
    <row r="59" spans="1:18">
      <c r="A59" s="85"/>
      <c r="B59" s="72" t="s">
        <v>39</v>
      </c>
      <c r="C59" s="69">
        <v>0.5</v>
      </c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73"/>
    </row>
    <row r="60" spans="1:18">
      <c r="A60" s="85"/>
      <c r="B60" s="74" t="s">
        <v>29</v>
      </c>
      <c r="C60" s="75">
        <f>C56</f>
        <v>0.5</v>
      </c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3">
        <f>SUM(R56:R59)</f>
        <v>174622.77043199999</v>
      </c>
    </row>
    <row r="61" spans="1:18">
      <c r="A61" s="71"/>
      <c r="B61" s="76" t="s">
        <v>37</v>
      </c>
      <c r="C61" s="75">
        <f>C39+C47+C54+C60</f>
        <v>9.8000000000000007</v>
      </c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3">
        <f>R29+R39+R47+R54+R60</f>
        <v>7336362.9317615991</v>
      </c>
    </row>
    <row r="62" spans="1:18">
      <c r="A62" s="108" t="s">
        <v>62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77"/>
      <c r="M62" s="77"/>
      <c r="N62" s="77"/>
      <c r="O62" s="77"/>
      <c r="P62" s="77"/>
      <c r="Q62" s="77"/>
      <c r="R62" s="78"/>
    </row>
    <row r="63" spans="1:18">
      <c r="A63" s="71"/>
      <c r="B63" s="74" t="s">
        <v>68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73"/>
    </row>
    <row r="64" spans="1:18">
      <c r="A64" s="85">
        <v>15643</v>
      </c>
      <c r="B64" s="72" t="s">
        <v>1</v>
      </c>
      <c r="C64" s="69">
        <v>4.5</v>
      </c>
      <c r="D64" s="69">
        <v>4</v>
      </c>
      <c r="E64" s="69">
        <v>1.91</v>
      </c>
      <c r="F64" s="69">
        <v>1.2</v>
      </c>
      <c r="G64" s="69"/>
      <c r="H64" s="69">
        <f t="shared" ref="H64:H67" si="12">H$7*E64*F64</f>
        <v>9328.4399999999987</v>
      </c>
      <c r="I64" s="69"/>
      <c r="J64" s="69">
        <f>H64*J10</f>
        <v>373.13759999999996</v>
      </c>
      <c r="K64" s="69">
        <f>H64*K10</f>
        <v>279.85319999999996</v>
      </c>
      <c r="L64" s="69"/>
      <c r="M64" s="69">
        <f>H64*0.133</f>
        <v>1240.6825199999998</v>
      </c>
      <c r="N64" s="68">
        <f>(H64+J64+K64+L64+M64)*N$10</f>
        <v>1122.2113319999999</v>
      </c>
      <c r="O64" s="68">
        <f>(H64+J64+K64+L64+M64+N64)*O$10</f>
        <v>8641.0272563999988</v>
      </c>
      <c r="P64" s="68">
        <f>(H64+J64+K64+L64+M64+N64)*P$10</f>
        <v>6172.1623259999997</v>
      </c>
      <c r="Q64" s="68">
        <f>(H64+J64+K64+L64+M64+N64+O64+P64)*C64</f>
        <v>122208.81405479999</v>
      </c>
      <c r="R64" s="73">
        <f>Q64*12</f>
        <v>1466505.7686576</v>
      </c>
    </row>
    <row r="65" spans="1:19" ht="24">
      <c r="A65" s="85">
        <v>18531</v>
      </c>
      <c r="B65" s="72" t="s">
        <v>35</v>
      </c>
      <c r="C65" s="69">
        <v>2</v>
      </c>
      <c r="D65" s="69">
        <v>3</v>
      </c>
      <c r="E65" s="69">
        <v>1.69</v>
      </c>
      <c r="F65" s="69">
        <v>1.2</v>
      </c>
      <c r="G65" s="69"/>
      <c r="H65" s="69">
        <f t="shared" si="12"/>
        <v>8253.9599999999991</v>
      </c>
      <c r="I65" s="69"/>
      <c r="J65" s="69">
        <f>H65*J10</f>
        <v>330.15839999999997</v>
      </c>
      <c r="K65" s="69"/>
      <c r="L65" s="69"/>
      <c r="M65" s="69"/>
      <c r="N65" s="68">
        <f>(H65+J65+K65+L65+M65)*N$10</f>
        <v>858.41183999999998</v>
      </c>
      <c r="O65" s="68">
        <f>(H65+J65+K65+L65+M65+N65)*O$10</f>
        <v>6609.7711679999993</v>
      </c>
      <c r="P65" s="68">
        <f>(H65+J65+K65+L65+M65+N65)*P$10</f>
        <v>4721.26512</v>
      </c>
      <c r="Q65" s="68">
        <f>(H65+J65+K65+L65+M65+N65+O65+P65)*C65</f>
        <v>41547.133055999999</v>
      </c>
      <c r="R65" s="73">
        <f>Q65*1*12</f>
        <v>498565.59667200001</v>
      </c>
    </row>
    <row r="66" spans="1:19">
      <c r="A66" s="85">
        <v>19906</v>
      </c>
      <c r="B66" s="72" t="s">
        <v>30</v>
      </c>
      <c r="C66" s="69">
        <v>1</v>
      </c>
      <c r="D66" s="69">
        <v>7</v>
      </c>
      <c r="E66" s="69">
        <v>2.76</v>
      </c>
      <c r="F66" s="69">
        <v>1.2</v>
      </c>
      <c r="G66" s="69"/>
      <c r="H66" s="69">
        <f t="shared" si="12"/>
        <v>13479.839999999998</v>
      </c>
      <c r="I66" s="69"/>
      <c r="J66" s="69">
        <f>H66*J10</f>
        <v>539.19359999999995</v>
      </c>
      <c r="K66" s="69"/>
      <c r="L66" s="69"/>
      <c r="M66" s="69"/>
      <c r="N66" s="68">
        <f>(H66+J66+K66+L66+M66)*N$10</f>
        <v>1401.90336</v>
      </c>
      <c r="O66" s="68">
        <f>(H66+J66+K66+L66+M66+N66)*O$10</f>
        <v>10794.655871999999</v>
      </c>
      <c r="P66" s="68">
        <f>(H66+J66+K66+L66+M66+N66)*P$10</f>
        <v>7710.4684799999995</v>
      </c>
      <c r="Q66" s="68">
        <f>(H66+J66+K66+L66+M66+N66+O66+P66)*C66</f>
        <v>33926.061311999998</v>
      </c>
      <c r="R66" s="73">
        <f>Q66*12</f>
        <v>407112.73574399995</v>
      </c>
    </row>
    <row r="67" spans="1:19" ht="24">
      <c r="A67" s="85">
        <v>19861</v>
      </c>
      <c r="B67" s="72" t="s">
        <v>36</v>
      </c>
      <c r="C67" s="69">
        <v>1</v>
      </c>
      <c r="D67" s="69">
        <v>5</v>
      </c>
      <c r="E67" s="69">
        <v>2.16</v>
      </c>
      <c r="F67" s="69">
        <v>1.2</v>
      </c>
      <c r="G67" s="69"/>
      <c r="H67" s="69">
        <f t="shared" si="12"/>
        <v>10549.44</v>
      </c>
      <c r="I67" s="69"/>
      <c r="J67" s="69">
        <f>H67*J10</f>
        <v>421.97760000000005</v>
      </c>
      <c r="K67" s="69"/>
      <c r="L67" s="69"/>
      <c r="M67" s="69"/>
      <c r="N67" s="68">
        <f>(H67+J67+K67+L67+M67)*N$10</f>
        <v>1097.1417600000002</v>
      </c>
      <c r="O67" s="68">
        <f>(H67+J67+K67+L67+M67+N67)*O$10</f>
        <v>8447.9915519999995</v>
      </c>
      <c r="P67" s="68">
        <f>(H67+J67+K67+L67+M67+N67)*P$10</f>
        <v>6034.2796800000006</v>
      </c>
      <c r="Q67" s="68">
        <f>(H67+J67+K67+L67+M67+N67+O67+P67)*C67</f>
        <v>26550.830591999998</v>
      </c>
      <c r="R67" s="73">
        <f>Q67*12</f>
        <v>318609.96710399998</v>
      </c>
    </row>
    <row r="68" spans="1:19">
      <c r="A68" s="85"/>
      <c r="B68" s="72" t="s">
        <v>29</v>
      </c>
      <c r="C68" s="69">
        <f>SUM(C64:C67)</f>
        <v>8.5</v>
      </c>
      <c r="D68" s="69"/>
      <c r="E68" s="69"/>
      <c r="F68" s="69"/>
      <c r="G68" s="69"/>
      <c r="H68" s="69">
        <f>(H64*C64)+(H65*C65)+H66+H67</f>
        <v>82515.179999999993</v>
      </c>
      <c r="I68" s="69"/>
      <c r="J68" s="69"/>
      <c r="K68" s="69"/>
      <c r="L68" s="69"/>
      <c r="M68" s="69"/>
      <c r="N68" s="69"/>
      <c r="O68" s="69"/>
      <c r="P68" s="69"/>
      <c r="Q68" s="69"/>
      <c r="R68" s="73">
        <f>SUM(R64:R67)</f>
        <v>2690794.0681775999</v>
      </c>
      <c r="S68" s="7"/>
    </row>
    <row r="69" spans="1:19">
      <c r="A69" s="85"/>
      <c r="B69" s="72" t="s">
        <v>38</v>
      </c>
      <c r="C69" s="69">
        <v>0.1</v>
      </c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73"/>
      <c r="S69" s="7"/>
    </row>
    <row r="70" spans="1:19">
      <c r="A70" s="85"/>
      <c r="B70" s="72" t="s">
        <v>40</v>
      </c>
      <c r="C70" s="69">
        <v>0.7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73"/>
      <c r="S70" s="7"/>
    </row>
    <row r="71" spans="1:19">
      <c r="A71" s="85"/>
      <c r="B71" s="72" t="s">
        <v>39</v>
      </c>
      <c r="C71" s="69">
        <v>0.5</v>
      </c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73"/>
      <c r="S71" s="7"/>
    </row>
    <row r="72" spans="1:19">
      <c r="A72" s="85"/>
      <c r="B72" s="74" t="s">
        <v>29</v>
      </c>
      <c r="C72" s="75">
        <f>C68</f>
        <v>8.5</v>
      </c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3">
        <f>R68+R69+R70+R71</f>
        <v>2690794.0681775999</v>
      </c>
      <c r="S72" s="7"/>
    </row>
    <row r="73" spans="1:19">
      <c r="A73" s="85"/>
      <c r="B73" s="107" t="s">
        <v>69</v>
      </c>
      <c r="C73" s="107"/>
      <c r="D73" s="107"/>
      <c r="E73" s="107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73"/>
    </row>
    <row r="74" spans="1:19">
      <c r="A74" s="85">
        <v>18560</v>
      </c>
      <c r="B74" s="72" t="s">
        <v>0</v>
      </c>
      <c r="C74" s="69">
        <v>0.5</v>
      </c>
      <c r="D74" s="69">
        <v>3</v>
      </c>
      <c r="E74" s="69">
        <v>1.69</v>
      </c>
      <c r="F74" s="69">
        <v>1.2</v>
      </c>
      <c r="G74" s="69"/>
      <c r="H74" s="69">
        <f t="shared" ref="H74:H75" si="13">H$7*E74*F74</f>
        <v>8253.9599999999991</v>
      </c>
      <c r="I74" s="69"/>
      <c r="J74" s="69"/>
      <c r="K74" s="69"/>
      <c r="L74" s="69"/>
      <c r="M74" s="69"/>
      <c r="N74" s="68">
        <f>(H74+J74+K74+L74+M74)*N$10</f>
        <v>825.39599999999996</v>
      </c>
      <c r="O74" s="68">
        <f>(H74+J74+K74+L74+M74+N74)*O$10</f>
        <v>6355.5491999999995</v>
      </c>
      <c r="P74" s="68">
        <f>(H74+J74+K74+L74+M74+N74)*P$10</f>
        <v>4539.6779999999999</v>
      </c>
      <c r="Q74" s="68">
        <f>(H74+J74+K74+L74+M74+N74+O74+P74)*C74</f>
        <v>9987.2916000000005</v>
      </c>
      <c r="R74" s="73">
        <f>Q74*12</f>
        <v>119847.49920000001</v>
      </c>
    </row>
    <row r="75" spans="1:19">
      <c r="A75" s="85">
        <v>11471</v>
      </c>
      <c r="B75" s="72" t="s">
        <v>7</v>
      </c>
      <c r="C75" s="69">
        <v>0.3</v>
      </c>
      <c r="D75" s="69">
        <v>1</v>
      </c>
      <c r="E75" s="69">
        <v>1</v>
      </c>
      <c r="F75" s="69">
        <v>1.2</v>
      </c>
      <c r="G75" s="69"/>
      <c r="H75" s="69">
        <f t="shared" si="13"/>
        <v>4884</v>
      </c>
      <c r="I75" s="69"/>
      <c r="J75" s="69"/>
      <c r="K75" s="69">
        <f>H75*K10</f>
        <v>146.51999999999998</v>
      </c>
      <c r="L75" s="69"/>
      <c r="M75" s="69"/>
      <c r="N75" s="68">
        <f>(H75+J75+K75+L75+M75)*0.25</f>
        <v>1257.6300000000001</v>
      </c>
      <c r="O75" s="68">
        <f>(H75+J75+K75+L75+M75+N75)*O$10</f>
        <v>4401.7049999999999</v>
      </c>
      <c r="P75" s="68">
        <f>(H75+J75+K75+L75+M75+N75)*P$10</f>
        <v>3144.0750000000003</v>
      </c>
      <c r="Q75" s="68">
        <f>(H75+J75+K75+L75+M75+N75+O75+P75)*C75</f>
        <v>4150.1790000000001</v>
      </c>
      <c r="R75" s="73">
        <f>Q75*12</f>
        <v>49802.148000000001</v>
      </c>
    </row>
    <row r="76" spans="1:19">
      <c r="A76" s="71"/>
      <c r="B76" s="72" t="s">
        <v>29</v>
      </c>
      <c r="C76" s="69">
        <f>SUM(C74:C75)</f>
        <v>0.8</v>
      </c>
      <c r="D76" s="69"/>
      <c r="E76" s="69"/>
      <c r="F76" s="69"/>
      <c r="G76" s="69"/>
      <c r="H76" s="69">
        <f>(H74*C74)+(H75*C75)</f>
        <v>5592.1799999999994</v>
      </c>
      <c r="I76" s="69"/>
      <c r="J76" s="69"/>
      <c r="K76" s="69"/>
      <c r="L76" s="69"/>
      <c r="M76" s="69"/>
      <c r="N76" s="69"/>
      <c r="O76" s="69"/>
      <c r="P76" s="69"/>
      <c r="Q76" s="69"/>
      <c r="R76" s="73">
        <f>SUM(R74:R75)</f>
        <v>169649.64720000001</v>
      </c>
    </row>
    <row r="77" spans="1:19">
      <c r="A77" s="71"/>
      <c r="B77" s="72" t="s">
        <v>38</v>
      </c>
      <c r="C77" s="69">
        <v>0.25</v>
      </c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73"/>
    </row>
    <row r="78" spans="1:19">
      <c r="A78" s="71"/>
      <c r="B78" s="72" t="s">
        <v>40</v>
      </c>
      <c r="C78" s="69">
        <v>0.7</v>
      </c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73"/>
    </row>
    <row r="79" spans="1:19">
      <c r="A79" s="71"/>
      <c r="B79" s="72" t="s">
        <v>39</v>
      </c>
      <c r="C79" s="69">
        <v>0.5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73"/>
    </row>
    <row r="80" spans="1:19">
      <c r="A80" s="71"/>
      <c r="B80" s="74" t="s">
        <v>29</v>
      </c>
      <c r="C80" s="75">
        <f>C76</f>
        <v>0.8</v>
      </c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3">
        <f>SUM(R76:R79)</f>
        <v>169649.64720000001</v>
      </c>
      <c r="S80" s="7"/>
    </row>
    <row r="81" spans="1:18">
      <c r="A81" s="71"/>
      <c r="B81" s="74" t="s">
        <v>70</v>
      </c>
      <c r="C81" s="75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3"/>
    </row>
    <row r="82" spans="1:18">
      <c r="A82" s="85">
        <v>11442</v>
      </c>
      <c r="B82" s="72" t="s">
        <v>31</v>
      </c>
      <c r="C82" s="69">
        <v>0.3</v>
      </c>
      <c r="D82" s="69">
        <v>5</v>
      </c>
      <c r="E82" s="69">
        <v>2.16</v>
      </c>
      <c r="F82" s="69">
        <v>1.2</v>
      </c>
      <c r="G82" s="69"/>
      <c r="H82" s="69">
        <f t="shared" ref="H82" si="14">H$7*E82*F82</f>
        <v>10549.44</v>
      </c>
      <c r="I82" s="69"/>
      <c r="J82" s="69"/>
      <c r="K82" s="69">
        <f>H82*K10</f>
        <v>316.48320000000001</v>
      </c>
      <c r="L82" s="69">
        <f>H82*0.1</f>
        <v>1054.9440000000002</v>
      </c>
      <c r="M82" s="69"/>
      <c r="N82" s="68">
        <f>(H82+J82+K82+L82+M82)*N$10</f>
        <v>1192.08672</v>
      </c>
      <c r="O82" s="68">
        <f>(H82+J82+K82+L82+M82+N82)*O$10</f>
        <v>9179.0677439999999</v>
      </c>
      <c r="P82" s="68">
        <f>(H82+J82+K82+L82+M82+N82)*P$10</f>
        <v>6556.47696</v>
      </c>
      <c r="Q82" s="68">
        <f>(H82+J82+K82+L82+M82+N82+O82+P82)*C82</f>
        <v>8654.5495871999992</v>
      </c>
      <c r="R82" s="73">
        <f>Q82*12</f>
        <v>103854.59504639999</v>
      </c>
    </row>
    <row r="83" spans="1:18">
      <c r="A83" s="85"/>
      <c r="B83" s="72" t="s">
        <v>38</v>
      </c>
      <c r="C83" s="69">
        <v>0.1</v>
      </c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73"/>
    </row>
    <row r="84" spans="1:18">
      <c r="A84" s="85"/>
      <c r="B84" s="72" t="s">
        <v>40</v>
      </c>
      <c r="C84" s="69">
        <v>0.7</v>
      </c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73"/>
    </row>
    <row r="85" spans="1:18">
      <c r="A85" s="85"/>
      <c r="B85" s="72" t="s">
        <v>39</v>
      </c>
      <c r="C85" s="69">
        <v>0.5</v>
      </c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73"/>
    </row>
    <row r="86" spans="1:18">
      <c r="A86" s="85"/>
      <c r="B86" s="74" t="s">
        <v>29</v>
      </c>
      <c r="C86" s="75">
        <f>C82</f>
        <v>0.3</v>
      </c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3">
        <f>SUM(R82:R85)</f>
        <v>103854.59504639999</v>
      </c>
    </row>
    <row r="87" spans="1:18">
      <c r="A87" s="85"/>
      <c r="B87" s="74" t="s">
        <v>71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73"/>
    </row>
    <row r="88" spans="1:18">
      <c r="A88" s="85">
        <v>11442</v>
      </c>
      <c r="B88" s="72" t="s">
        <v>56</v>
      </c>
      <c r="C88" s="69">
        <v>0.5</v>
      </c>
      <c r="D88" s="69">
        <v>5</v>
      </c>
      <c r="E88" s="69">
        <v>2.16</v>
      </c>
      <c r="F88" s="69">
        <v>1.2</v>
      </c>
      <c r="G88" s="69"/>
      <c r="H88" s="69">
        <f t="shared" ref="H88" si="15">H$7*E88*F88</f>
        <v>10549.44</v>
      </c>
      <c r="I88" s="69"/>
      <c r="J88" s="69">
        <f>H88*J10</f>
        <v>421.97760000000005</v>
      </c>
      <c r="K88" s="69"/>
      <c r="L88" s="69">
        <f>H88*10%</f>
        <v>1054.9440000000002</v>
      </c>
      <c r="M88" s="69"/>
      <c r="N88" s="68">
        <f>(H88+J88+K88+L88+M88)*N$10</f>
        <v>1202.63616</v>
      </c>
      <c r="O88" s="68">
        <f>(H88+J88+K88+L88+M88+N88)*O$10</f>
        <v>9260.2984319999996</v>
      </c>
      <c r="P88" s="68">
        <f>(H88+J88+K88+L88+M88+N88)*P$10</f>
        <v>6614.4988800000001</v>
      </c>
      <c r="Q88" s="68">
        <f>(H88+J88+K88+L88+M88+N88+O88+P88)*C88</f>
        <v>14551.897536</v>
      </c>
      <c r="R88" s="73">
        <f>Q88*12</f>
        <v>174622.77043199999</v>
      </c>
    </row>
    <row r="89" spans="1:18">
      <c r="A89" s="71"/>
      <c r="B89" s="72" t="s">
        <v>29</v>
      </c>
      <c r="C89" s="69">
        <f>SUM(C88:C88)</f>
        <v>0.5</v>
      </c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73">
        <f>SUM(R88:R88)</f>
        <v>174622.77043199999</v>
      </c>
    </row>
    <row r="90" spans="1:18">
      <c r="A90" s="71"/>
      <c r="B90" s="72" t="s">
        <v>38</v>
      </c>
      <c r="C90" s="69">
        <v>0.1</v>
      </c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73"/>
    </row>
    <row r="91" spans="1:18">
      <c r="A91" s="71"/>
      <c r="B91" s="72" t="s">
        <v>40</v>
      </c>
      <c r="C91" s="69">
        <v>0.7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73"/>
    </row>
    <row r="92" spans="1:18">
      <c r="A92" s="71"/>
      <c r="B92" s="72" t="s">
        <v>39</v>
      </c>
      <c r="C92" s="69">
        <v>0.5</v>
      </c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73"/>
    </row>
    <row r="93" spans="1:18">
      <c r="A93" s="71"/>
      <c r="B93" s="74" t="s">
        <v>29</v>
      </c>
      <c r="C93" s="75">
        <f>C89</f>
        <v>0.5</v>
      </c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3">
        <f>R89+R90+R91+R92</f>
        <v>174622.77043199999</v>
      </c>
    </row>
    <row r="94" spans="1:18">
      <c r="A94" s="71"/>
      <c r="B94" s="74" t="s">
        <v>32</v>
      </c>
      <c r="C94" s="75">
        <f>C93+C86+C80+C72</f>
        <v>10.1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63">
        <f>R93+R86+R80+R72</f>
        <v>3138921.0808560001</v>
      </c>
    </row>
    <row r="95" spans="1:18">
      <c r="A95" s="71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73"/>
    </row>
    <row r="96" spans="1:18">
      <c r="A96" s="79"/>
      <c r="B96" s="80" t="s">
        <v>32</v>
      </c>
      <c r="C96" s="80">
        <f>C61+C94+C29</f>
        <v>27.2</v>
      </c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2">
        <f>+R61+R94</f>
        <v>10475284.012617599</v>
      </c>
    </row>
    <row r="98" spans="1:19" ht="12.75">
      <c r="E98" s="35"/>
      <c r="F98" s="35"/>
      <c r="G98" s="35"/>
      <c r="H98" s="35"/>
      <c r="I98" s="35"/>
      <c r="J98" s="35"/>
      <c r="K98" s="35"/>
    </row>
    <row r="99" spans="1:19" ht="12.75">
      <c r="E99" s="35"/>
      <c r="F99" s="35"/>
      <c r="G99" s="35"/>
      <c r="H99" s="35"/>
      <c r="I99" s="35"/>
      <c r="J99" s="35"/>
      <c r="K99" s="35"/>
    </row>
    <row r="100" spans="1:19" ht="12.75">
      <c r="G100" s="35"/>
      <c r="H100" s="35"/>
      <c r="I100" s="35"/>
      <c r="J100" s="35"/>
      <c r="K100" s="35"/>
    </row>
    <row r="101" spans="1:19" ht="12.75">
      <c r="E101" s="35"/>
      <c r="F101" s="35"/>
      <c r="G101" s="35"/>
      <c r="H101" s="35"/>
      <c r="I101" s="35"/>
      <c r="J101" s="35"/>
      <c r="K101" s="35"/>
    </row>
    <row r="102" spans="1:19" ht="12.75">
      <c r="B102" s="38"/>
      <c r="E102" s="35"/>
      <c r="F102" s="35"/>
      <c r="G102" s="35"/>
      <c r="H102" s="35"/>
      <c r="I102" s="35"/>
      <c r="J102" s="35"/>
      <c r="K102" s="35"/>
    </row>
    <row r="103" spans="1:19" ht="12.75">
      <c r="E103" s="35"/>
      <c r="F103" s="35"/>
    </row>
    <row r="110" spans="1:1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4.25">
      <c r="A113" s="3"/>
      <c r="B113" s="41"/>
      <c r="C113" s="41"/>
      <c r="D113" s="41"/>
      <c r="E113" s="41"/>
      <c r="F113" s="41"/>
      <c r="G113" s="41"/>
      <c r="H113" s="4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/>
      <c r="B116" s="102"/>
      <c r="C116" s="102"/>
      <c r="D116" s="102"/>
      <c r="E116" s="10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4"/>
      <c r="R116" s="4"/>
      <c r="S116" s="3"/>
    </row>
    <row r="117" spans="1:19">
      <c r="A117" s="42"/>
      <c r="B117" s="43"/>
      <c r="C117" s="44"/>
      <c r="D117" s="44"/>
      <c r="E117" s="44"/>
      <c r="F117" s="45"/>
      <c r="G117" s="42"/>
      <c r="H117" s="46"/>
      <c r="I117" s="42"/>
      <c r="J117" s="42"/>
      <c r="K117" s="42"/>
      <c r="L117" s="42"/>
      <c r="M117" s="42"/>
      <c r="N117" s="42"/>
      <c r="O117" s="42"/>
      <c r="P117" s="42"/>
      <c r="Q117" s="46"/>
      <c r="R117" s="46"/>
      <c r="S117" s="3"/>
    </row>
    <row r="118" spans="1:19">
      <c r="A118" s="42"/>
      <c r="B118" s="43"/>
      <c r="C118" s="44"/>
      <c r="D118" s="44"/>
      <c r="E118" s="44"/>
      <c r="F118" s="45"/>
      <c r="G118" s="42"/>
      <c r="H118" s="46"/>
      <c r="I118" s="42"/>
      <c r="J118" s="46"/>
      <c r="K118" s="42"/>
      <c r="L118" s="42"/>
      <c r="M118" s="42"/>
      <c r="N118" s="42"/>
      <c r="O118" s="42"/>
      <c r="P118" s="42"/>
      <c r="Q118" s="46"/>
      <c r="R118" s="46"/>
      <c r="S118" s="3"/>
    </row>
    <row r="119" spans="1:19">
      <c r="A119" s="42"/>
      <c r="B119" s="43"/>
      <c r="C119" s="44"/>
      <c r="D119" s="44"/>
      <c r="E119" s="44"/>
      <c r="F119" s="45"/>
      <c r="G119" s="42"/>
      <c r="H119" s="46"/>
      <c r="I119" s="42"/>
      <c r="J119" s="46"/>
      <c r="K119" s="42"/>
      <c r="L119" s="42"/>
      <c r="M119" s="42"/>
      <c r="N119" s="42"/>
      <c r="O119" s="42"/>
      <c r="P119" s="42"/>
      <c r="Q119" s="46"/>
      <c r="R119" s="46"/>
      <c r="S119" s="3"/>
    </row>
    <row r="120" spans="1:19">
      <c r="A120" s="42"/>
      <c r="B120" s="43"/>
      <c r="C120" s="44"/>
      <c r="D120" s="44"/>
      <c r="E120" s="44"/>
      <c r="F120" s="45"/>
      <c r="G120" s="42"/>
      <c r="H120" s="46"/>
      <c r="I120" s="42"/>
      <c r="J120" s="46"/>
      <c r="K120" s="42"/>
      <c r="L120" s="42"/>
      <c r="M120" s="42"/>
      <c r="N120" s="42"/>
      <c r="O120" s="42"/>
      <c r="P120" s="42"/>
      <c r="Q120" s="46"/>
      <c r="R120" s="46"/>
      <c r="S120" s="3"/>
    </row>
    <row r="121" spans="1:19">
      <c r="A121" s="42"/>
      <c r="B121" s="43"/>
      <c r="C121" s="44"/>
      <c r="D121" s="44"/>
      <c r="E121" s="44"/>
      <c r="F121" s="45"/>
      <c r="G121" s="42"/>
      <c r="H121" s="46"/>
      <c r="I121" s="42"/>
      <c r="J121" s="46"/>
      <c r="K121" s="46"/>
      <c r="L121" s="42"/>
      <c r="M121" s="46"/>
      <c r="N121" s="46"/>
      <c r="O121" s="46"/>
      <c r="P121" s="46"/>
      <c r="Q121" s="46"/>
      <c r="R121" s="46"/>
      <c r="S121" s="3"/>
    </row>
    <row r="122" spans="1:19">
      <c r="A122" s="42"/>
      <c r="B122" s="43"/>
      <c r="C122" s="44"/>
      <c r="D122" s="44"/>
      <c r="E122" s="44"/>
      <c r="F122" s="45"/>
      <c r="G122" s="42"/>
      <c r="H122" s="46"/>
      <c r="I122" s="42"/>
      <c r="J122" s="46"/>
      <c r="K122" s="46"/>
      <c r="L122" s="42"/>
      <c r="M122" s="46"/>
      <c r="N122" s="46"/>
      <c r="O122" s="46"/>
      <c r="P122" s="46"/>
      <c r="Q122" s="46"/>
      <c r="R122" s="46"/>
      <c r="S122" s="3"/>
    </row>
    <row r="123" spans="1:19">
      <c r="A123" s="3"/>
      <c r="B123" s="47"/>
      <c r="C123" s="40"/>
      <c r="D123" s="40"/>
      <c r="E123" s="40"/>
      <c r="F123" s="40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4"/>
      <c r="R123" s="4"/>
      <c r="S123" s="3"/>
    </row>
    <row r="124" spans="1:19">
      <c r="A124" s="3"/>
      <c r="B124" s="47"/>
      <c r="C124" s="48"/>
      <c r="D124" s="40"/>
      <c r="E124" s="40"/>
      <c r="F124" s="4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4"/>
      <c r="R124" s="4"/>
      <c r="S124" s="3"/>
    </row>
    <row r="125" spans="1:19">
      <c r="A125" s="3"/>
      <c r="B125" s="47"/>
      <c r="C125" s="48"/>
      <c r="D125" s="40"/>
      <c r="E125" s="40"/>
      <c r="F125" s="40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4"/>
      <c r="R125" s="4"/>
      <c r="S125" s="3"/>
    </row>
    <row r="126" spans="1:19">
      <c r="A126" s="3"/>
      <c r="B126" s="47"/>
      <c r="C126" s="48"/>
      <c r="D126" s="40"/>
      <c r="E126" s="40"/>
      <c r="F126" s="4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4"/>
      <c r="R126" s="4"/>
      <c r="S126" s="3"/>
    </row>
    <row r="127" spans="1:19">
      <c r="A127" s="3"/>
      <c r="B127" s="47"/>
      <c r="C127" s="48"/>
      <c r="D127" s="40"/>
      <c r="E127" s="40"/>
      <c r="F127" s="40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4"/>
      <c r="R127" s="4"/>
      <c r="S127" s="3"/>
    </row>
    <row r="128" spans="1:19">
      <c r="A128" s="3"/>
      <c r="B128" s="47"/>
      <c r="C128" s="48"/>
      <c r="D128" s="40"/>
      <c r="E128" s="40"/>
      <c r="F128" s="40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4"/>
      <c r="R128" s="4"/>
      <c r="S128" s="3"/>
    </row>
    <row r="129" spans="1:19">
      <c r="A129" s="3"/>
      <c r="B129" s="29"/>
      <c r="C129" s="64"/>
      <c r="D129" s="40"/>
      <c r="E129" s="40"/>
      <c r="F129" s="4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4"/>
      <c r="R129" s="36"/>
      <c r="S129" s="3"/>
    </row>
    <row r="130" spans="1:19">
      <c r="A130" s="3"/>
      <c r="B130" s="47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4"/>
      <c r="R130" s="4"/>
      <c r="S130" s="3"/>
    </row>
    <row r="131" spans="1:1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2.75">
      <c r="A135" s="3"/>
      <c r="B135" s="3"/>
      <c r="C135" s="3"/>
      <c r="D135" s="3"/>
      <c r="E135" s="49"/>
      <c r="F135" s="49"/>
      <c r="G135" s="49"/>
      <c r="H135" s="49"/>
      <c r="I135" s="49"/>
      <c r="J135" s="49"/>
      <c r="K135" s="49"/>
      <c r="L135" s="3"/>
      <c r="M135" s="3"/>
      <c r="N135" s="3"/>
      <c r="O135" s="3"/>
      <c r="P135" s="3"/>
      <c r="Q135" s="3"/>
      <c r="R135" s="3"/>
      <c r="S135" s="3"/>
    </row>
    <row r="136" spans="1:19" ht="12.75">
      <c r="A136" s="3"/>
      <c r="B136" s="3"/>
      <c r="C136" s="3"/>
      <c r="D136" s="3"/>
      <c r="E136" s="49"/>
      <c r="F136" s="49"/>
      <c r="G136" s="49"/>
      <c r="H136" s="49"/>
      <c r="I136" s="49"/>
      <c r="J136" s="49"/>
      <c r="K136" s="49"/>
      <c r="L136" s="3"/>
      <c r="M136" s="3"/>
      <c r="N136" s="3"/>
      <c r="O136" s="3"/>
      <c r="P136" s="3"/>
      <c r="Q136" s="3"/>
      <c r="R136" s="3"/>
      <c r="S136" s="3"/>
    </row>
    <row r="137" spans="1:19" ht="12.75">
      <c r="A137" s="3"/>
      <c r="B137" s="3"/>
      <c r="C137" s="3"/>
      <c r="D137" s="3"/>
      <c r="E137" s="49"/>
      <c r="F137" s="49"/>
      <c r="G137" s="49"/>
      <c r="H137" s="49"/>
      <c r="I137" s="49"/>
      <c r="J137" s="49"/>
      <c r="K137" s="49"/>
      <c r="L137" s="3"/>
      <c r="M137" s="3"/>
      <c r="N137" s="3"/>
      <c r="O137" s="3"/>
      <c r="P137" s="3"/>
      <c r="Q137" s="3"/>
      <c r="R137" s="3"/>
      <c r="S137" s="3"/>
    </row>
    <row r="138" spans="1:19" ht="12.75">
      <c r="A138" s="3"/>
      <c r="B138" s="3"/>
      <c r="C138" s="3"/>
      <c r="D138" s="3"/>
      <c r="E138" s="49"/>
      <c r="F138" s="49"/>
      <c r="G138" s="49"/>
      <c r="H138" s="49"/>
      <c r="I138" s="49"/>
      <c r="J138" s="49"/>
      <c r="K138" s="49"/>
      <c r="L138" s="3"/>
      <c r="M138" s="3"/>
      <c r="N138" s="3"/>
      <c r="O138" s="3"/>
      <c r="P138" s="3"/>
      <c r="Q138" s="3"/>
      <c r="R138" s="3"/>
      <c r="S138" s="3"/>
    </row>
    <row r="139" spans="1:19" ht="12.75">
      <c r="A139" s="3"/>
      <c r="B139" s="3"/>
      <c r="C139" s="3"/>
      <c r="D139" s="3"/>
      <c r="E139" s="49"/>
      <c r="F139" s="49"/>
      <c r="G139" s="49"/>
      <c r="H139" s="49"/>
      <c r="I139" s="49"/>
      <c r="J139" s="49"/>
      <c r="K139" s="49"/>
      <c r="L139" s="3"/>
      <c r="M139" s="3"/>
      <c r="N139" s="3"/>
      <c r="O139" s="3"/>
      <c r="P139" s="3"/>
      <c r="Q139" s="3"/>
      <c r="R139" s="3"/>
      <c r="S139" s="3"/>
    </row>
    <row r="140" spans="1:19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</sheetData>
  <mergeCells count="8">
    <mergeCell ref="N1:Q1"/>
    <mergeCell ref="B116:E116"/>
    <mergeCell ref="N8:N9"/>
    <mergeCell ref="O8:O9"/>
    <mergeCell ref="P8:P9"/>
    <mergeCell ref="B40:E40"/>
    <mergeCell ref="A62:K62"/>
    <mergeCell ref="B73:E73"/>
  </mergeCells>
  <pageMargins left="0.59055118110236227" right="0.39370078740157483" top="0.78740157480314965" bottom="0.59055118110236227" header="0.19685039370078741" footer="0.19685039370078741"/>
  <pageSetup paperSize="9" scale="96" orientation="landscape" r:id="rId1"/>
  <headerFooter alignWithMargins="0">
    <oddFooter>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T140"/>
  <sheetViews>
    <sheetView tabSelected="1" zoomScaleNormal="100" workbookViewId="0">
      <pane ySplit="10" topLeftCell="A72" activePane="bottomLeft" state="frozen"/>
      <selection pane="bottomLeft" activeCell="B1" sqref="A1:R96"/>
    </sheetView>
  </sheetViews>
  <sheetFormatPr defaultRowHeight="12"/>
  <cols>
    <col min="1" max="1" width="6" style="1" customWidth="1"/>
    <col min="2" max="2" width="25.7109375" style="1" customWidth="1"/>
    <col min="3" max="3" width="7.7109375" style="1" customWidth="1"/>
    <col min="4" max="4" width="5.28515625" style="1" customWidth="1"/>
    <col min="5" max="5" width="7.7109375" style="1" customWidth="1"/>
    <col min="6" max="6" width="8.140625" style="1" customWidth="1"/>
    <col min="7" max="7" width="7.28515625" style="1" hidden="1" customWidth="1"/>
    <col min="8" max="8" width="9.7109375" style="1" customWidth="1"/>
    <col min="9" max="9" width="0" style="1" hidden="1" customWidth="1"/>
    <col min="10" max="11" width="7.7109375" style="1" customWidth="1"/>
    <col min="12" max="12" width="6.85546875" style="1" customWidth="1"/>
    <col min="13" max="16" width="7.7109375" style="1" customWidth="1"/>
    <col min="17" max="17" width="9.85546875" style="1" customWidth="1"/>
    <col min="18" max="18" width="11.7109375" style="1" customWidth="1"/>
    <col min="19" max="19" width="10.85546875" style="1" bestFit="1" customWidth="1"/>
    <col min="20" max="16384" width="9.140625" style="1"/>
  </cols>
  <sheetData>
    <row r="1" spans="1:18" ht="12.75" customHeight="1">
      <c r="B1" s="96" t="s">
        <v>84</v>
      </c>
      <c r="N1" s="106" t="s">
        <v>87</v>
      </c>
      <c r="O1" s="106"/>
      <c r="P1" s="106"/>
      <c r="Q1" s="106"/>
      <c r="R1" s="88"/>
    </row>
    <row r="2" spans="1:18">
      <c r="B2" s="96" t="s">
        <v>85</v>
      </c>
      <c r="N2" s="88" t="s">
        <v>88</v>
      </c>
      <c r="O2" s="88"/>
      <c r="P2" s="88"/>
      <c r="Q2" s="88"/>
    </row>
    <row r="3" spans="1:18">
      <c r="B3" s="96"/>
    </row>
    <row r="4" spans="1:18">
      <c r="B4" s="87"/>
      <c r="C4" s="1" t="s">
        <v>86</v>
      </c>
      <c r="N4" s="89"/>
      <c r="O4" s="89"/>
      <c r="P4" s="89"/>
      <c r="Q4" s="1" t="s">
        <v>74</v>
      </c>
    </row>
    <row r="7" spans="1:18">
      <c r="C7" s="2" t="s">
        <v>28</v>
      </c>
      <c r="D7" s="2"/>
      <c r="E7" s="2"/>
      <c r="F7" s="2"/>
      <c r="G7" s="2">
        <v>3702</v>
      </c>
      <c r="H7" s="2">
        <v>4257</v>
      </c>
    </row>
    <row r="8" spans="1:18">
      <c r="A8" s="94" t="s">
        <v>9</v>
      </c>
      <c r="B8" s="94" t="s">
        <v>8</v>
      </c>
      <c r="C8" s="94" t="s">
        <v>11</v>
      </c>
      <c r="D8" s="94" t="s">
        <v>2</v>
      </c>
      <c r="E8" s="94" t="s">
        <v>57</v>
      </c>
      <c r="F8" s="94" t="s">
        <v>13</v>
      </c>
      <c r="G8" s="94" t="s">
        <v>26</v>
      </c>
      <c r="H8" s="94" t="s">
        <v>16</v>
      </c>
      <c r="I8" s="94" t="s">
        <v>18</v>
      </c>
      <c r="J8" s="94" t="s">
        <v>4</v>
      </c>
      <c r="K8" s="94" t="s">
        <v>19</v>
      </c>
      <c r="L8" s="94" t="s">
        <v>21</v>
      </c>
      <c r="M8" s="94" t="s">
        <v>22</v>
      </c>
      <c r="N8" s="104" t="s">
        <v>83</v>
      </c>
      <c r="O8" s="104" t="s">
        <v>81</v>
      </c>
      <c r="P8" s="104" t="s">
        <v>82</v>
      </c>
      <c r="Q8" s="94" t="s">
        <v>16</v>
      </c>
      <c r="R8" s="94" t="s">
        <v>24</v>
      </c>
    </row>
    <row r="9" spans="1:18">
      <c r="A9" s="95" t="s">
        <v>10</v>
      </c>
      <c r="B9" s="95"/>
      <c r="C9" s="95" t="s">
        <v>5</v>
      </c>
      <c r="D9" s="95" t="s">
        <v>3</v>
      </c>
      <c r="E9" s="95" t="s">
        <v>12</v>
      </c>
      <c r="F9" s="95" t="s">
        <v>14</v>
      </c>
      <c r="G9" s="95" t="s">
        <v>15</v>
      </c>
      <c r="H9" s="95" t="s">
        <v>17</v>
      </c>
      <c r="I9" s="95"/>
      <c r="J9" s="95" t="s">
        <v>5</v>
      </c>
      <c r="K9" s="95" t="s">
        <v>20</v>
      </c>
      <c r="L9" s="95" t="s">
        <v>5</v>
      </c>
      <c r="M9" s="95"/>
      <c r="N9" s="105"/>
      <c r="O9" s="105"/>
      <c r="P9" s="105"/>
      <c r="Q9" s="95" t="s">
        <v>23</v>
      </c>
      <c r="R9" s="95" t="s">
        <v>23</v>
      </c>
    </row>
    <row r="10" spans="1:18">
      <c r="A10" s="8"/>
      <c r="B10" s="9"/>
      <c r="C10" s="9"/>
      <c r="D10" s="9"/>
      <c r="E10" s="9"/>
      <c r="F10" s="9"/>
      <c r="G10" s="9"/>
      <c r="H10" s="9"/>
      <c r="I10" s="9" t="s">
        <v>25</v>
      </c>
      <c r="J10" s="10">
        <v>0.04</v>
      </c>
      <c r="K10" s="11">
        <v>0.03</v>
      </c>
      <c r="L10" s="9"/>
      <c r="M10" s="11">
        <v>0.13300000000000001</v>
      </c>
      <c r="N10" s="11">
        <v>0.1</v>
      </c>
      <c r="O10" s="11">
        <v>0.7</v>
      </c>
      <c r="P10" s="11">
        <v>0.5</v>
      </c>
      <c r="Q10" s="9"/>
      <c r="R10" s="12"/>
    </row>
    <row r="11" spans="1:18">
      <c r="A11" s="8"/>
      <c r="B11" s="26" t="s">
        <v>27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27"/>
      <c r="R11" s="28"/>
    </row>
    <row r="12" spans="1:18">
      <c r="A12" s="83">
        <v>21593</v>
      </c>
      <c r="B12" s="67" t="s">
        <v>61</v>
      </c>
      <c r="C12" s="68">
        <v>1</v>
      </c>
      <c r="D12" s="90">
        <v>14</v>
      </c>
      <c r="E12" s="68">
        <v>6.51</v>
      </c>
      <c r="F12" s="68">
        <v>1.2</v>
      </c>
      <c r="G12" s="68"/>
      <c r="H12" s="69">
        <f t="shared" ref="H12:H15" si="0">H$7*E12*F12</f>
        <v>33255.684000000001</v>
      </c>
      <c r="I12" s="68"/>
      <c r="J12" s="68"/>
      <c r="K12" s="68"/>
      <c r="L12" s="68"/>
      <c r="M12" s="68"/>
      <c r="N12" s="68">
        <f>(H12+J12+K12+L12+M12)*N$10</f>
        <v>3325.5684000000001</v>
      </c>
      <c r="O12" s="68">
        <f>(H12+J12+K12+L12+M12+N12)*O$10</f>
        <v>25606.876679999998</v>
      </c>
      <c r="P12" s="68">
        <f>(H12+J12+K12+L12+M12+N12)*P$10</f>
        <v>18290.626199999999</v>
      </c>
      <c r="Q12" s="68">
        <f>(H12+J12+K12+L12+M12+N12+O12+P12)*C12</f>
        <v>80478.755279999998</v>
      </c>
      <c r="R12" s="70">
        <f>Q12*12</f>
        <v>965745.06336000003</v>
      </c>
    </row>
    <row r="13" spans="1:18">
      <c r="A13" s="84">
        <v>27931</v>
      </c>
      <c r="B13" s="67" t="s">
        <v>73</v>
      </c>
      <c r="C13" s="68">
        <v>0.3</v>
      </c>
      <c r="D13" s="90">
        <v>12</v>
      </c>
      <c r="E13" s="68">
        <v>5.0999999999999996</v>
      </c>
      <c r="F13" s="68">
        <v>1.2</v>
      </c>
      <c r="G13" s="68"/>
      <c r="H13" s="69">
        <f t="shared" si="0"/>
        <v>26052.839999999997</v>
      </c>
      <c r="I13" s="68"/>
      <c r="J13" s="68"/>
      <c r="K13" s="68"/>
      <c r="L13" s="68"/>
      <c r="M13" s="68"/>
      <c r="N13" s="68">
        <f t="shared" ref="N13:N24" si="1">(H13+J13+K13+L13+M13)*N$10</f>
        <v>2605.2839999999997</v>
      </c>
      <c r="O13" s="68">
        <f t="shared" ref="O13:O24" si="2">(H13+J13+K13+L13+M13+N13)*O$10</f>
        <v>20060.686799999996</v>
      </c>
      <c r="P13" s="68">
        <f t="shared" ref="P13:P24" si="3">(H13+J13+K13+L13+M13+N13)*P$10</f>
        <v>14329.061999999998</v>
      </c>
      <c r="Q13" s="68">
        <f t="shared" ref="Q13:Q24" si="4">(H13+J13+K13+L13+M13+N13+O13+P13)*C13</f>
        <v>18914.361839999998</v>
      </c>
      <c r="R13" s="70">
        <f t="shared" ref="R13:R24" si="5">Q13*12</f>
        <v>226972.34207999997</v>
      </c>
    </row>
    <row r="14" spans="1:18">
      <c r="A14" s="83">
        <v>20656</v>
      </c>
      <c r="B14" s="67" t="s">
        <v>64</v>
      </c>
      <c r="C14" s="68">
        <v>1</v>
      </c>
      <c r="D14" s="91">
        <v>12</v>
      </c>
      <c r="E14" s="69">
        <v>5.0999999999999996</v>
      </c>
      <c r="F14" s="69">
        <v>1.2</v>
      </c>
      <c r="G14" s="68"/>
      <c r="H14" s="69">
        <f t="shared" si="0"/>
        <v>26052.839999999997</v>
      </c>
      <c r="I14" s="68"/>
      <c r="J14" s="68"/>
      <c r="K14" s="68"/>
      <c r="L14" s="68"/>
      <c r="M14" s="68"/>
      <c r="N14" s="68">
        <f t="shared" si="1"/>
        <v>2605.2839999999997</v>
      </c>
      <c r="O14" s="68">
        <f t="shared" si="2"/>
        <v>20060.686799999996</v>
      </c>
      <c r="P14" s="68">
        <f t="shared" si="3"/>
        <v>14329.061999999998</v>
      </c>
      <c r="Q14" s="68">
        <f t="shared" si="4"/>
        <v>63047.87279999999</v>
      </c>
      <c r="R14" s="70">
        <f t="shared" si="5"/>
        <v>756574.47359999991</v>
      </c>
    </row>
    <row r="15" spans="1:18">
      <c r="A15" s="83"/>
      <c r="B15" s="67" t="s">
        <v>76</v>
      </c>
      <c r="C15" s="68">
        <v>0.5</v>
      </c>
      <c r="D15" s="90">
        <v>9</v>
      </c>
      <c r="E15" s="68">
        <v>3.53</v>
      </c>
      <c r="F15" s="68">
        <v>1.2</v>
      </c>
      <c r="G15" s="68"/>
      <c r="H15" s="69">
        <f t="shared" si="0"/>
        <v>18032.651999999998</v>
      </c>
      <c r="I15" s="68"/>
      <c r="J15" s="68"/>
      <c r="K15" s="68"/>
      <c r="L15" s="68"/>
      <c r="M15" s="68"/>
      <c r="N15" s="68">
        <f t="shared" si="1"/>
        <v>1803.2651999999998</v>
      </c>
      <c r="O15" s="68">
        <f t="shared" si="2"/>
        <v>13885.142039999997</v>
      </c>
      <c r="P15" s="68">
        <f t="shared" si="3"/>
        <v>9917.9585999999981</v>
      </c>
      <c r="Q15" s="68">
        <f t="shared" si="4"/>
        <v>21819.508919999997</v>
      </c>
      <c r="R15" s="70">
        <f t="shared" si="5"/>
        <v>261834.10703999997</v>
      </c>
    </row>
    <row r="16" spans="1:18">
      <c r="A16" s="84">
        <v>27728</v>
      </c>
      <c r="B16" s="67" t="s">
        <v>60</v>
      </c>
      <c r="C16" s="68">
        <v>0.5</v>
      </c>
      <c r="D16" s="90">
        <v>12</v>
      </c>
      <c r="E16" s="68">
        <v>5.0999999999999996</v>
      </c>
      <c r="F16" s="68">
        <v>1.2</v>
      </c>
      <c r="G16" s="68"/>
      <c r="H16" s="69">
        <f>H$7*E16*F16</f>
        <v>26052.839999999997</v>
      </c>
      <c r="I16" s="68"/>
      <c r="J16" s="68"/>
      <c r="K16" s="68"/>
      <c r="L16" s="68"/>
      <c r="M16" s="68"/>
      <c r="N16" s="68">
        <f t="shared" si="1"/>
        <v>2605.2839999999997</v>
      </c>
      <c r="O16" s="68">
        <f t="shared" si="2"/>
        <v>20060.686799999996</v>
      </c>
      <c r="P16" s="68">
        <f t="shared" si="3"/>
        <v>14329.061999999998</v>
      </c>
      <c r="Q16" s="68">
        <f t="shared" si="4"/>
        <v>31523.936399999995</v>
      </c>
      <c r="R16" s="70">
        <f t="shared" si="5"/>
        <v>378287.23679999996</v>
      </c>
    </row>
    <row r="17" spans="1:18">
      <c r="A17" s="84">
        <v>26583</v>
      </c>
      <c r="B17" s="67" t="s">
        <v>65</v>
      </c>
      <c r="C17" s="68">
        <v>0.2</v>
      </c>
      <c r="D17" s="90">
        <v>6</v>
      </c>
      <c r="E17" s="68">
        <v>2.44</v>
      </c>
      <c r="F17" s="68">
        <v>1.2</v>
      </c>
      <c r="G17" s="68"/>
      <c r="H17" s="69">
        <f>H$7*E17*F17</f>
        <v>12464.495999999999</v>
      </c>
      <c r="I17" s="68"/>
      <c r="J17" s="68"/>
      <c r="K17" s="68"/>
      <c r="L17" s="68"/>
      <c r="M17" s="68"/>
      <c r="N17" s="68">
        <f t="shared" si="1"/>
        <v>1246.4495999999999</v>
      </c>
      <c r="O17" s="68">
        <f t="shared" si="2"/>
        <v>9597.6619199999986</v>
      </c>
      <c r="P17" s="68">
        <f t="shared" si="3"/>
        <v>6855.4727999999996</v>
      </c>
      <c r="Q17" s="68">
        <f t="shared" si="4"/>
        <v>6032.8160639999996</v>
      </c>
      <c r="R17" s="70">
        <f t="shared" si="5"/>
        <v>72393.792767999999</v>
      </c>
    </row>
    <row r="18" spans="1:18">
      <c r="A18" s="84">
        <v>22659</v>
      </c>
      <c r="B18" s="67" t="s">
        <v>66</v>
      </c>
      <c r="C18" s="68">
        <v>0.2</v>
      </c>
      <c r="D18" s="90">
        <v>9</v>
      </c>
      <c r="E18" s="68">
        <v>3.53</v>
      </c>
      <c r="F18" s="68">
        <v>1.2</v>
      </c>
      <c r="G18" s="68"/>
      <c r="H18" s="69">
        <f t="shared" ref="H18:H24" si="6">H$7*E18*F18</f>
        <v>18032.651999999998</v>
      </c>
      <c r="I18" s="68"/>
      <c r="J18" s="68"/>
      <c r="K18" s="68"/>
      <c r="L18" s="68"/>
      <c r="M18" s="68"/>
      <c r="N18" s="68">
        <f t="shared" si="1"/>
        <v>1803.2651999999998</v>
      </c>
      <c r="O18" s="68">
        <f t="shared" si="2"/>
        <v>13885.142039999997</v>
      </c>
      <c r="P18" s="68">
        <f t="shared" si="3"/>
        <v>9917.9585999999981</v>
      </c>
      <c r="Q18" s="68">
        <f t="shared" si="4"/>
        <v>8727.8035679999994</v>
      </c>
      <c r="R18" s="70">
        <f t="shared" si="5"/>
        <v>104733.64281599999</v>
      </c>
    </row>
    <row r="19" spans="1:18">
      <c r="A19" s="84">
        <v>27931</v>
      </c>
      <c r="B19" s="67" t="s">
        <v>77</v>
      </c>
      <c r="C19" s="68">
        <v>0.3</v>
      </c>
      <c r="D19" s="90">
        <v>9</v>
      </c>
      <c r="E19" s="68">
        <v>3.53</v>
      </c>
      <c r="F19" s="68">
        <v>1.2</v>
      </c>
      <c r="G19" s="68"/>
      <c r="H19" s="69">
        <f t="shared" si="6"/>
        <v>18032.651999999998</v>
      </c>
      <c r="I19" s="68"/>
      <c r="J19" s="68"/>
      <c r="K19" s="68"/>
      <c r="L19" s="68"/>
      <c r="M19" s="68"/>
      <c r="N19" s="68">
        <f t="shared" si="1"/>
        <v>1803.2651999999998</v>
      </c>
      <c r="O19" s="68">
        <f t="shared" si="2"/>
        <v>13885.142039999997</v>
      </c>
      <c r="P19" s="68">
        <f t="shared" si="3"/>
        <v>9917.9585999999981</v>
      </c>
      <c r="Q19" s="68">
        <f t="shared" si="4"/>
        <v>13091.705351999997</v>
      </c>
      <c r="R19" s="70">
        <f t="shared" si="5"/>
        <v>157100.46422399997</v>
      </c>
    </row>
    <row r="20" spans="1:18">
      <c r="A20" s="84"/>
      <c r="B20" s="67" t="s">
        <v>78</v>
      </c>
      <c r="C20" s="68">
        <v>0.3</v>
      </c>
      <c r="D20" s="90">
        <v>9</v>
      </c>
      <c r="E20" s="68">
        <v>3.53</v>
      </c>
      <c r="F20" s="68">
        <v>1.2</v>
      </c>
      <c r="G20" s="68"/>
      <c r="H20" s="69">
        <f t="shared" si="6"/>
        <v>18032.651999999998</v>
      </c>
      <c r="I20" s="68"/>
      <c r="J20" s="68"/>
      <c r="K20" s="68"/>
      <c r="L20" s="68"/>
      <c r="M20" s="68"/>
      <c r="N20" s="68">
        <f t="shared" si="1"/>
        <v>1803.2651999999998</v>
      </c>
      <c r="O20" s="68">
        <f t="shared" si="2"/>
        <v>13885.142039999997</v>
      </c>
      <c r="P20" s="68">
        <f t="shared" si="3"/>
        <v>9917.9585999999981</v>
      </c>
      <c r="Q20" s="68">
        <f t="shared" si="4"/>
        <v>13091.705351999997</v>
      </c>
      <c r="R20" s="70">
        <f t="shared" si="5"/>
        <v>157100.46422399997</v>
      </c>
    </row>
    <row r="21" spans="1:18">
      <c r="A21" s="84">
        <v>21792</v>
      </c>
      <c r="B21" s="67" t="s">
        <v>67</v>
      </c>
      <c r="C21" s="68">
        <v>0.25</v>
      </c>
      <c r="D21" s="90">
        <v>3</v>
      </c>
      <c r="E21" s="69">
        <v>1.69</v>
      </c>
      <c r="F21" s="69">
        <v>1.2</v>
      </c>
      <c r="G21" s="68"/>
      <c r="H21" s="69">
        <f t="shared" si="6"/>
        <v>8633.1959999999999</v>
      </c>
      <c r="I21" s="68"/>
      <c r="J21" s="68"/>
      <c r="K21" s="68"/>
      <c r="L21" s="68"/>
      <c r="M21" s="68"/>
      <c r="N21" s="68">
        <f t="shared" si="1"/>
        <v>863.31960000000004</v>
      </c>
      <c r="O21" s="68">
        <f t="shared" si="2"/>
        <v>6647.5609199999999</v>
      </c>
      <c r="P21" s="68">
        <f t="shared" si="3"/>
        <v>4748.2578000000003</v>
      </c>
      <c r="Q21" s="68">
        <f t="shared" si="4"/>
        <v>5223.0835800000004</v>
      </c>
      <c r="R21" s="70">
        <f t="shared" si="5"/>
        <v>62677.002960000005</v>
      </c>
    </row>
    <row r="22" spans="1:18">
      <c r="A22" s="83"/>
      <c r="B22" s="67" t="s">
        <v>80</v>
      </c>
      <c r="C22" s="68">
        <v>0.5</v>
      </c>
      <c r="D22" s="90">
        <v>5</v>
      </c>
      <c r="E22" s="68">
        <v>2.16</v>
      </c>
      <c r="F22" s="68">
        <v>1.2</v>
      </c>
      <c r="G22" s="68"/>
      <c r="H22" s="69">
        <f t="shared" si="6"/>
        <v>11034.144</v>
      </c>
      <c r="I22" s="68"/>
      <c r="J22" s="68"/>
      <c r="K22" s="68"/>
      <c r="L22" s="68"/>
      <c r="M22" s="68"/>
      <c r="N22" s="68">
        <f t="shared" si="1"/>
        <v>1103.4144000000001</v>
      </c>
      <c r="O22" s="68">
        <f t="shared" si="2"/>
        <v>8496.2908799999987</v>
      </c>
      <c r="P22" s="68">
        <f t="shared" si="3"/>
        <v>6068.7791999999999</v>
      </c>
      <c r="Q22" s="68">
        <f t="shared" si="4"/>
        <v>13351.31424</v>
      </c>
      <c r="R22" s="70">
        <f t="shared" si="5"/>
        <v>160215.77088</v>
      </c>
    </row>
    <row r="23" spans="1:18">
      <c r="A23" s="84">
        <v>23998</v>
      </c>
      <c r="B23" s="72" t="s">
        <v>6</v>
      </c>
      <c r="C23" s="69">
        <v>2</v>
      </c>
      <c r="D23" s="91">
        <v>10</v>
      </c>
      <c r="E23" s="69">
        <v>3.99</v>
      </c>
      <c r="F23" s="69">
        <v>1.2</v>
      </c>
      <c r="G23" s="69"/>
      <c r="H23" s="69">
        <f t="shared" si="6"/>
        <v>20382.516</v>
      </c>
      <c r="I23" s="69"/>
      <c r="J23" s="69"/>
      <c r="K23" s="69"/>
      <c r="L23" s="69"/>
      <c r="M23" s="69"/>
      <c r="N23" s="68">
        <f t="shared" si="1"/>
        <v>2038.2516000000001</v>
      </c>
      <c r="O23" s="68">
        <f t="shared" si="2"/>
        <v>15694.537319999998</v>
      </c>
      <c r="P23" s="68">
        <f t="shared" si="3"/>
        <v>11210.3838</v>
      </c>
      <c r="Q23" s="68">
        <f t="shared" si="4"/>
        <v>98651.377439999982</v>
      </c>
      <c r="R23" s="70">
        <f t="shared" si="5"/>
        <v>1183816.5292799999</v>
      </c>
    </row>
    <row r="24" spans="1:18">
      <c r="A24" s="84">
        <v>19258</v>
      </c>
      <c r="B24" s="72" t="s">
        <v>72</v>
      </c>
      <c r="C24" s="69">
        <v>0.25</v>
      </c>
      <c r="D24" s="91">
        <v>1</v>
      </c>
      <c r="E24" s="69">
        <v>1</v>
      </c>
      <c r="F24" s="69">
        <v>1.2</v>
      </c>
      <c r="G24" s="69"/>
      <c r="H24" s="69">
        <f t="shared" si="6"/>
        <v>5108.3999999999996</v>
      </c>
      <c r="I24" s="69"/>
      <c r="J24" s="69"/>
      <c r="K24" s="69"/>
      <c r="L24" s="69"/>
      <c r="M24" s="69"/>
      <c r="N24" s="68">
        <f t="shared" si="1"/>
        <v>510.84</v>
      </c>
      <c r="O24" s="68">
        <f t="shared" si="2"/>
        <v>3933.4679999999994</v>
      </c>
      <c r="P24" s="68">
        <f t="shared" si="3"/>
        <v>2809.62</v>
      </c>
      <c r="Q24" s="68">
        <f t="shared" si="4"/>
        <v>3090.5819999999994</v>
      </c>
      <c r="R24" s="70">
        <f t="shared" si="5"/>
        <v>37086.983999999997</v>
      </c>
    </row>
    <row r="25" spans="1:18">
      <c r="A25" s="84"/>
      <c r="B25" s="72" t="s">
        <v>29</v>
      </c>
      <c r="C25" s="69">
        <f>SUM(C12:C24)</f>
        <v>7.3</v>
      </c>
      <c r="D25" s="69"/>
      <c r="E25" s="69"/>
      <c r="F25" s="69"/>
      <c r="G25" s="69"/>
      <c r="H25" s="69">
        <f>(H23*C23)+H12*C12+H13*C13+H22*C22+H14*C14+H15*C15+H16*C16+H17*C17+H18*C18+H19*C19+H20*C20+H21*C21+H24*C24</f>
        <v>155803.64580000003</v>
      </c>
      <c r="I25" s="69"/>
      <c r="J25" s="69"/>
      <c r="K25" s="69"/>
      <c r="L25" s="69"/>
      <c r="M25" s="69"/>
      <c r="N25" s="69"/>
      <c r="O25" s="69"/>
      <c r="P25" s="69"/>
      <c r="Q25" s="69"/>
      <c r="R25" s="73">
        <f>SUM(R12:R24)</f>
        <v>4524537.874032001</v>
      </c>
    </row>
    <row r="26" spans="1:18">
      <c r="A26" s="84"/>
      <c r="B26" s="72" t="s">
        <v>38</v>
      </c>
      <c r="C26" s="69">
        <v>0.1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3"/>
    </row>
    <row r="27" spans="1:18">
      <c r="A27" s="71"/>
      <c r="B27" s="72" t="s">
        <v>40</v>
      </c>
      <c r="C27" s="69">
        <v>0.7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73"/>
    </row>
    <row r="28" spans="1:18">
      <c r="A28" s="71"/>
      <c r="B28" s="72" t="s">
        <v>39</v>
      </c>
      <c r="C28" s="69">
        <v>0.5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3"/>
    </row>
    <row r="29" spans="1:18">
      <c r="A29" s="71"/>
      <c r="B29" s="74" t="s">
        <v>29</v>
      </c>
      <c r="C29" s="75">
        <f>C25</f>
        <v>7.3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3">
        <f>SUM(R25:R28)</f>
        <v>4524537.874032001</v>
      </c>
    </row>
    <row r="30" spans="1:18" ht="24">
      <c r="A30" s="71"/>
      <c r="B30" s="74" t="s">
        <v>63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</row>
    <row r="31" spans="1:18">
      <c r="A31" s="84">
        <v>15643</v>
      </c>
      <c r="B31" s="72" t="s">
        <v>1</v>
      </c>
      <c r="C31" s="69">
        <v>4.5</v>
      </c>
      <c r="D31" s="91">
        <v>4</v>
      </c>
      <c r="E31" s="69">
        <v>1.91</v>
      </c>
      <c r="F31" s="69">
        <v>1.2</v>
      </c>
      <c r="G31" s="69"/>
      <c r="H31" s="69">
        <f t="shared" ref="H31:H34" si="7">H$7*E31*F31</f>
        <v>9757.0439999999999</v>
      </c>
      <c r="I31" s="69"/>
      <c r="J31" s="69">
        <f>H31*J10</f>
        <v>390.28176000000002</v>
      </c>
      <c r="K31" s="69">
        <f>H31*K10</f>
        <v>292.71132</v>
      </c>
      <c r="L31" s="69"/>
      <c r="M31" s="69">
        <f>H31*0.133</f>
        <v>1297.686852</v>
      </c>
      <c r="N31" s="68">
        <f>(H31+J31+K31+L31+M31)*N$10</f>
        <v>1173.7723932000001</v>
      </c>
      <c r="O31" s="68">
        <f>(H31+J31+K31+L31+M31+N31)*O$10</f>
        <v>9038.04742764</v>
      </c>
      <c r="P31" s="68">
        <f>(H31+J31+K31+L31+M31+N31)*P$10</f>
        <v>6455.7481626000008</v>
      </c>
      <c r="Q31" s="68">
        <f>(H31+J31+K31+L31+M31+N31+O31+P31)*C31</f>
        <v>127823.81361948</v>
      </c>
      <c r="R31" s="73">
        <f>Q31*12</f>
        <v>1533885.76343376</v>
      </c>
    </row>
    <row r="32" spans="1:18" ht="24">
      <c r="A32" s="84">
        <v>18531</v>
      </c>
      <c r="B32" s="72" t="s">
        <v>33</v>
      </c>
      <c r="C32" s="69">
        <v>2</v>
      </c>
      <c r="D32" s="91">
        <v>3</v>
      </c>
      <c r="E32" s="69">
        <v>1.69</v>
      </c>
      <c r="F32" s="69">
        <v>1.2</v>
      </c>
      <c r="G32" s="69"/>
      <c r="H32" s="69">
        <f t="shared" si="7"/>
        <v>8633.1959999999999</v>
      </c>
      <c r="I32" s="69"/>
      <c r="J32" s="69">
        <f>H32*J10</f>
        <v>345.32783999999998</v>
      </c>
      <c r="K32" s="69"/>
      <c r="L32" s="69"/>
      <c r="M32" s="69"/>
      <c r="N32" s="68">
        <f>(H32+J32+K32+L32+M32)*N$10</f>
        <v>897.85238400000003</v>
      </c>
      <c r="O32" s="68">
        <f>(H32+J32+K32+L32+M32+N32)*O$10</f>
        <v>6913.463356799999</v>
      </c>
      <c r="P32" s="68">
        <f>(H32+J32+K32+L32+M32+N32)*P$10</f>
        <v>4938.1881119999998</v>
      </c>
      <c r="Q32" s="68">
        <f>(H32+J32+K32+L32+M32+N32+O32+P32)*C32</f>
        <v>43456.055385599997</v>
      </c>
      <c r="R32" s="73">
        <f t="shared" ref="R32:R34" si="8">Q32*12</f>
        <v>521472.66462719999</v>
      </c>
    </row>
    <row r="33" spans="1:20">
      <c r="A33" s="84">
        <v>19906</v>
      </c>
      <c r="B33" s="72" t="s">
        <v>30</v>
      </c>
      <c r="C33" s="69">
        <v>1</v>
      </c>
      <c r="D33" s="91">
        <v>5</v>
      </c>
      <c r="E33" s="69">
        <v>2.16</v>
      </c>
      <c r="F33" s="69">
        <v>1.2</v>
      </c>
      <c r="G33" s="69"/>
      <c r="H33" s="69">
        <f t="shared" si="7"/>
        <v>11034.144</v>
      </c>
      <c r="I33" s="69"/>
      <c r="J33" s="69">
        <f>H33*J10</f>
        <v>441.36576000000002</v>
      </c>
      <c r="K33" s="69"/>
      <c r="L33" s="69"/>
      <c r="M33" s="69"/>
      <c r="N33" s="68">
        <f>(H33+J33+K33+L33+M33)*N$10</f>
        <v>1147.5509760000002</v>
      </c>
      <c r="O33" s="68">
        <f>(H33+J33+K33+L33+M33+N33)*O$10</f>
        <v>8836.1425152000011</v>
      </c>
      <c r="P33" s="68">
        <f>(H33+J33+K33+L33+M33+N33)*P$10</f>
        <v>6311.5303680000006</v>
      </c>
      <c r="Q33" s="68">
        <f>(H33+J33+K33+L33+M33+N33+O33+P33)*C33</f>
        <v>27770.7336192</v>
      </c>
      <c r="R33" s="73">
        <f t="shared" si="8"/>
        <v>333248.80343039997</v>
      </c>
    </row>
    <row r="34" spans="1:20">
      <c r="A34" s="84">
        <v>19861</v>
      </c>
      <c r="B34" s="72" t="s">
        <v>79</v>
      </c>
      <c r="C34" s="69">
        <v>0.5</v>
      </c>
      <c r="D34" s="91">
        <v>7</v>
      </c>
      <c r="E34" s="69">
        <v>2.76</v>
      </c>
      <c r="F34" s="69">
        <v>1.2</v>
      </c>
      <c r="G34" s="69"/>
      <c r="H34" s="69">
        <f t="shared" si="7"/>
        <v>14099.183999999999</v>
      </c>
      <c r="I34" s="69"/>
      <c r="J34" s="69">
        <f>H34*J10</f>
        <v>563.96735999999999</v>
      </c>
      <c r="K34" s="69"/>
      <c r="L34" s="69"/>
      <c r="M34" s="69"/>
      <c r="N34" s="68">
        <f>(H34+J34+K34+L34+M34)*N$10</f>
        <v>1466.3151360000002</v>
      </c>
      <c r="O34" s="68">
        <f>(H34+J34+K34+L34+M34+N34)*O$10</f>
        <v>11290.6265472</v>
      </c>
      <c r="P34" s="68">
        <f>(H34+J34+K34+L34+M34+N34)*P$10</f>
        <v>8064.7332480000005</v>
      </c>
      <c r="Q34" s="68">
        <f>(H34+J34+K34+L34+M34+N34+O34+P34)*C34</f>
        <v>17742.413145600003</v>
      </c>
      <c r="R34" s="73">
        <f t="shared" si="8"/>
        <v>212908.95774720004</v>
      </c>
    </row>
    <row r="35" spans="1:20">
      <c r="A35" s="84"/>
      <c r="B35" s="72" t="s">
        <v>29</v>
      </c>
      <c r="C35" s="69">
        <f>SUM(C31:C34)</f>
        <v>8</v>
      </c>
      <c r="D35" s="69"/>
      <c r="E35" s="69"/>
      <c r="F35" s="69"/>
      <c r="G35" s="69"/>
      <c r="H35" s="69">
        <f>(H31*C31)+C32*H32+H33*C33+C34*H34</f>
        <v>79256.826000000001</v>
      </c>
      <c r="I35" s="69"/>
      <c r="J35" s="69"/>
      <c r="K35" s="69"/>
      <c r="L35" s="69"/>
      <c r="M35" s="69"/>
      <c r="N35" s="69"/>
      <c r="O35" s="69"/>
      <c r="P35" s="69"/>
      <c r="Q35" s="69"/>
      <c r="R35" s="73">
        <f>SUM(R31:R34)</f>
        <v>2601516.1892385599</v>
      </c>
      <c r="S35" s="7"/>
    </row>
    <row r="36" spans="1:20">
      <c r="A36" s="84"/>
      <c r="B36" s="72" t="s">
        <v>38</v>
      </c>
      <c r="C36" s="69">
        <v>0.1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"/>
    </row>
    <row r="37" spans="1:20">
      <c r="A37" s="84"/>
      <c r="B37" s="72" t="s">
        <v>40</v>
      </c>
      <c r="C37" s="69">
        <v>0.7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73"/>
      <c r="S37" s="7"/>
      <c r="T37" s="7"/>
    </row>
    <row r="38" spans="1:20">
      <c r="A38" s="84"/>
      <c r="B38" s="72" t="s">
        <v>39</v>
      </c>
      <c r="C38" s="69">
        <v>0.5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7"/>
      <c r="T38" s="7"/>
    </row>
    <row r="39" spans="1:20">
      <c r="A39" s="84"/>
      <c r="B39" s="74" t="s">
        <v>29</v>
      </c>
      <c r="C39" s="75">
        <f>C35</f>
        <v>8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3">
        <f>R35+R36+R37+R38</f>
        <v>2601516.1892385599</v>
      </c>
    </row>
    <row r="40" spans="1:20">
      <c r="A40" s="84"/>
      <c r="B40" s="107" t="s">
        <v>58</v>
      </c>
      <c r="C40" s="107"/>
      <c r="D40" s="107"/>
      <c r="E40" s="107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</row>
    <row r="41" spans="1:20">
      <c r="A41" s="84">
        <v>18560</v>
      </c>
      <c r="B41" s="72" t="s">
        <v>0</v>
      </c>
      <c r="C41" s="69">
        <v>0.5</v>
      </c>
      <c r="D41" s="91">
        <v>3</v>
      </c>
      <c r="E41" s="69">
        <v>1.69</v>
      </c>
      <c r="F41" s="69">
        <v>1.2</v>
      </c>
      <c r="G41" s="69"/>
      <c r="H41" s="69">
        <f t="shared" ref="H41:H42" si="9">H$7*E41*F41</f>
        <v>8633.1959999999999</v>
      </c>
      <c r="I41" s="69"/>
      <c r="J41" s="69"/>
      <c r="K41" s="69"/>
      <c r="L41" s="69"/>
      <c r="M41" s="69"/>
      <c r="N41" s="68">
        <f>(H41+J41+K41+L41+M41)*N$10</f>
        <v>863.31960000000004</v>
      </c>
      <c r="O41" s="68">
        <f>(H41+J41+K41+L41+M41+N41)*O$10</f>
        <v>6647.5609199999999</v>
      </c>
      <c r="P41" s="68">
        <f>(H41+J41+K41+L41+M41+N41)*P$10</f>
        <v>4748.2578000000003</v>
      </c>
      <c r="Q41" s="68">
        <f>(H41+J41+K41+L41+M41+N41+O41+P41)*C41</f>
        <v>10446.167160000001</v>
      </c>
      <c r="R41" s="73">
        <f>Q41*12</f>
        <v>125354.00592000001</v>
      </c>
    </row>
    <row r="42" spans="1:20">
      <c r="A42" s="84">
        <v>11471</v>
      </c>
      <c r="B42" s="72" t="s">
        <v>7</v>
      </c>
      <c r="C42" s="69">
        <v>0.3</v>
      </c>
      <c r="D42" s="91">
        <v>1</v>
      </c>
      <c r="E42" s="69">
        <v>1</v>
      </c>
      <c r="F42" s="69">
        <v>1.2</v>
      </c>
      <c r="G42" s="69"/>
      <c r="H42" s="69">
        <f t="shared" si="9"/>
        <v>5108.3999999999996</v>
      </c>
      <c r="I42" s="69"/>
      <c r="J42" s="69"/>
      <c r="K42" s="69">
        <f>H42*K10</f>
        <v>153.25199999999998</v>
      </c>
      <c r="L42" s="69"/>
      <c r="M42" s="69"/>
      <c r="N42" s="68">
        <f>(H42+J42+K42+L42+M42)*0.4</f>
        <v>2104.6608000000001</v>
      </c>
      <c r="O42" s="68">
        <f>(H42+J42+K42+L42+M42+N42)*O$10</f>
        <v>5156.4189599999991</v>
      </c>
      <c r="P42" s="68">
        <f>(H42+J42+K42+L42+M42+N42)*P$10</f>
        <v>3683.1563999999998</v>
      </c>
      <c r="Q42" s="68">
        <f>(H42+J42+K42+L42+M42+N42+O42+P42)*C42</f>
        <v>4861.7664479999994</v>
      </c>
      <c r="R42" s="73">
        <f>Q42*12</f>
        <v>58341.197375999996</v>
      </c>
    </row>
    <row r="43" spans="1:20">
      <c r="A43" s="71"/>
      <c r="B43" s="72" t="s">
        <v>29</v>
      </c>
      <c r="C43" s="69">
        <f>SUM(C41:C42)</f>
        <v>0.8</v>
      </c>
      <c r="D43" s="91"/>
      <c r="E43" s="69"/>
      <c r="F43" s="69"/>
      <c r="G43" s="69"/>
      <c r="H43" s="69">
        <f>(H41*C41)+(H42*C42)</f>
        <v>5849.1179999999995</v>
      </c>
      <c r="I43" s="69"/>
      <c r="J43" s="69"/>
      <c r="K43" s="69"/>
      <c r="L43" s="69"/>
      <c r="M43" s="69"/>
      <c r="N43" s="69"/>
      <c r="O43" s="69"/>
      <c r="P43" s="69"/>
      <c r="Q43" s="69"/>
      <c r="R43" s="73">
        <f>SUM(R41:R42)</f>
        <v>183695.20329600002</v>
      </c>
    </row>
    <row r="44" spans="1:20">
      <c r="A44" s="71"/>
      <c r="B44" s="72" t="s">
        <v>38</v>
      </c>
      <c r="C44" s="69">
        <v>0.25</v>
      </c>
      <c r="D44" s="91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73"/>
    </row>
    <row r="45" spans="1:20">
      <c r="A45" s="71"/>
      <c r="B45" s="72" t="s">
        <v>40</v>
      </c>
      <c r="C45" s="69">
        <v>0.7</v>
      </c>
      <c r="D45" s="91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</row>
    <row r="46" spans="1:20">
      <c r="A46" s="71"/>
      <c r="B46" s="72" t="s">
        <v>39</v>
      </c>
      <c r="C46" s="69">
        <v>0.5</v>
      </c>
      <c r="D46" s="91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73"/>
    </row>
    <row r="47" spans="1:20">
      <c r="A47" s="71"/>
      <c r="B47" s="74" t="s">
        <v>29</v>
      </c>
      <c r="C47" s="75">
        <f>C43</f>
        <v>0.8</v>
      </c>
      <c r="D47" s="91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3">
        <f>SUM(R43:R46)</f>
        <v>183695.20329600002</v>
      </c>
    </row>
    <row r="48" spans="1:20">
      <c r="A48" s="71"/>
      <c r="B48" s="74" t="s">
        <v>59</v>
      </c>
      <c r="C48" s="69"/>
      <c r="D48" s="91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</row>
    <row r="49" spans="1:18">
      <c r="A49" s="85">
        <v>11442</v>
      </c>
      <c r="B49" s="72" t="s">
        <v>34</v>
      </c>
      <c r="C49" s="69">
        <v>0.5</v>
      </c>
      <c r="D49" s="91">
        <v>5</v>
      </c>
      <c r="E49" s="69">
        <v>2.16</v>
      </c>
      <c r="F49" s="69">
        <v>1.2</v>
      </c>
      <c r="G49" s="69"/>
      <c r="H49" s="69">
        <f t="shared" ref="H49" si="10">H$7*E49*F49</f>
        <v>11034.144</v>
      </c>
      <c r="I49" s="69"/>
      <c r="J49" s="69"/>
      <c r="K49" s="69">
        <f>H49*K10</f>
        <v>331.02431999999999</v>
      </c>
      <c r="L49" s="69">
        <f>H49*0.1</f>
        <v>1103.4144000000001</v>
      </c>
      <c r="M49" s="69"/>
      <c r="N49" s="68">
        <f>(H49+J49+K49+L49+M49)*N$10</f>
        <v>1246.8582720000002</v>
      </c>
      <c r="O49" s="68">
        <f>(H49+J49+K49+L49+M49+N49)*O$10</f>
        <v>9600.8086943999988</v>
      </c>
      <c r="P49" s="68">
        <f>(H49+J49+K49+L49+M49+N49)*P$10</f>
        <v>6857.7204959999999</v>
      </c>
      <c r="Q49" s="68">
        <f>(H49+J49+K49+L49+M49+N49+O49+P49)*C49</f>
        <v>15086.9850912</v>
      </c>
      <c r="R49" s="73">
        <f>Q49*12</f>
        <v>181043.82109440002</v>
      </c>
    </row>
    <row r="50" spans="1:18">
      <c r="A50" s="85"/>
      <c r="B50" s="72" t="s">
        <v>29</v>
      </c>
      <c r="C50" s="69">
        <f>SUM(C49)</f>
        <v>0.5</v>
      </c>
      <c r="D50" s="91"/>
      <c r="E50" s="69"/>
      <c r="F50" s="69"/>
      <c r="G50" s="69"/>
      <c r="H50" s="69">
        <f>H49*0.5</f>
        <v>5517.0720000000001</v>
      </c>
      <c r="I50" s="69"/>
      <c r="J50" s="69"/>
      <c r="K50" s="69"/>
      <c r="L50" s="69"/>
      <c r="M50" s="69"/>
      <c r="N50" s="69"/>
      <c r="O50" s="69"/>
      <c r="P50" s="69"/>
      <c r="Q50" s="69"/>
      <c r="R50" s="73">
        <f>SUM(R49)</f>
        <v>181043.82109440002</v>
      </c>
    </row>
    <row r="51" spans="1:18">
      <c r="A51" s="85"/>
      <c r="B51" s="72" t="s">
        <v>38</v>
      </c>
      <c r="C51" s="69">
        <v>0.1</v>
      </c>
      <c r="D51" s="91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73"/>
    </row>
    <row r="52" spans="1:18">
      <c r="A52" s="85"/>
      <c r="B52" s="72" t="s">
        <v>40</v>
      </c>
      <c r="C52" s="69">
        <v>0.7</v>
      </c>
      <c r="D52" s="91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3"/>
    </row>
    <row r="53" spans="1:18">
      <c r="A53" s="85"/>
      <c r="B53" s="72" t="s">
        <v>39</v>
      </c>
      <c r="C53" s="69">
        <v>0.5</v>
      </c>
      <c r="D53" s="91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73"/>
    </row>
    <row r="54" spans="1:18">
      <c r="A54" s="85"/>
      <c r="B54" s="74" t="s">
        <v>29</v>
      </c>
      <c r="C54" s="75">
        <f>C50</f>
        <v>0.5</v>
      </c>
      <c r="D54" s="91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3">
        <f>SUM(R50:R53)</f>
        <v>181043.82109440002</v>
      </c>
    </row>
    <row r="55" spans="1:18">
      <c r="A55" s="85">
        <v>11442</v>
      </c>
      <c r="B55" s="72" t="s">
        <v>55</v>
      </c>
      <c r="C55" s="69">
        <v>0.5</v>
      </c>
      <c r="D55" s="91">
        <v>1</v>
      </c>
      <c r="E55" s="69">
        <v>2.16</v>
      </c>
      <c r="F55" s="69">
        <v>1.2</v>
      </c>
      <c r="G55" s="69"/>
      <c r="H55" s="69">
        <f t="shared" ref="H55" si="11">H$7*E55*F55</f>
        <v>11034.144</v>
      </c>
      <c r="I55" s="69"/>
      <c r="J55" s="69">
        <f>H55*J10</f>
        <v>441.36576000000002</v>
      </c>
      <c r="K55" s="69"/>
      <c r="L55" s="69">
        <f>H55*10%</f>
        <v>1103.4144000000001</v>
      </c>
      <c r="M55" s="69"/>
      <c r="N55" s="68">
        <f>(H55+J55+K55+L55+M55)*N$10</f>
        <v>1257.8924160000001</v>
      </c>
      <c r="O55" s="68">
        <f>(H55+J55+K55+L55+M55+N55)*O$10</f>
        <v>9685.7716032000008</v>
      </c>
      <c r="P55" s="68">
        <f>(H55+J55+K55+L55+M55+N55)*P$10</f>
        <v>6918.4082880000005</v>
      </c>
      <c r="Q55" s="68">
        <f>(H55+J55+K55+L55+M55+N55+O55+P55)*C55</f>
        <v>15220.498233599999</v>
      </c>
      <c r="R55" s="73">
        <f>Q55*12</f>
        <v>182645.97880320001</v>
      </c>
    </row>
    <row r="56" spans="1:18" ht="12.75" customHeight="1">
      <c r="A56" s="85"/>
      <c r="B56" s="72" t="s">
        <v>29</v>
      </c>
      <c r="C56" s="69">
        <f>SUM(C55:C55)</f>
        <v>0.5</v>
      </c>
      <c r="D56" s="91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73">
        <f>SUM(R55:R55)</f>
        <v>182645.97880320001</v>
      </c>
    </row>
    <row r="57" spans="1:18">
      <c r="A57" s="85"/>
      <c r="B57" s="72" t="s">
        <v>38</v>
      </c>
      <c r="C57" s="69">
        <v>0.1</v>
      </c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73"/>
    </row>
    <row r="58" spans="1:18">
      <c r="A58" s="85"/>
      <c r="B58" s="72" t="s">
        <v>40</v>
      </c>
      <c r="C58" s="69">
        <v>0.7</v>
      </c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73"/>
    </row>
    <row r="59" spans="1:18">
      <c r="A59" s="85"/>
      <c r="B59" s="72" t="s">
        <v>39</v>
      </c>
      <c r="C59" s="69">
        <v>0.5</v>
      </c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73"/>
    </row>
    <row r="60" spans="1:18">
      <c r="A60" s="85"/>
      <c r="B60" s="74" t="s">
        <v>29</v>
      </c>
      <c r="C60" s="75">
        <f>C56</f>
        <v>0.5</v>
      </c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3">
        <f>SUM(R56:R59)</f>
        <v>182645.97880320001</v>
      </c>
    </row>
    <row r="61" spans="1:18">
      <c r="A61" s="71"/>
      <c r="B61" s="97" t="s">
        <v>37</v>
      </c>
      <c r="C61" s="75">
        <f>C39+C47+C54+C60</f>
        <v>9.8000000000000007</v>
      </c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3">
        <f>R29+R39+R47+R54+R60</f>
        <v>7673439.0664641615</v>
      </c>
    </row>
    <row r="62" spans="1:18">
      <c r="A62" s="108" t="s">
        <v>62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77"/>
      <c r="M62" s="77"/>
      <c r="N62" s="77"/>
      <c r="O62" s="77"/>
      <c r="P62" s="77"/>
      <c r="Q62" s="77"/>
      <c r="R62" s="78"/>
    </row>
    <row r="63" spans="1:18">
      <c r="A63" s="71"/>
      <c r="B63" s="74" t="s">
        <v>68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73"/>
    </row>
    <row r="64" spans="1:18">
      <c r="A64" s="85">
        <v>15643</v>
      </c>
      <c r="B64" s="72" t="s">
        <v>1</v>
      </c>
      <c r="C64" s="69">
        <v>4.5</v>
      </c>
      <c r="D64" s="69">
        <v>4</v>
      </c>
      <c r="E64" s="69">
        <v>1.91</v>
      </c>
      <c r="F64" s="69">
        <v>1.2</v>
      </c>
      <c r="G64" s="69"/>
      <c r="H64" s="69">
        <f t="shared" ref="H64:H67" si="12">H$7*E64*F64</f>
        <v>9757.0439999999999</v>
      </c>
      <c r="I64" s="69"/>
      <c r="J64" s="69">
        <f>H64*J10</f>
        <v>390.28176000000002</v>
      </c>
      <c r="K64" s="69">
        <f>H64*K10</f>
        <v>292.71132</v>
      </c>
      <c r="L64" s="69"/>
      <c r="M64" s="69">
        <f>H64*0.133</f>
        <v>1297.686852</v>
      </c>
      <c r="N64" s="68">
        <f>(H64+J64+K64+L64+M64)*N$10</f>
        <v>1173.7723932000001</v>
      </c>
      <c r="O64" s="68">
        <f>(H64+J64+K64+L64+M64+N64)*O$10</f>
        <v>9038.04742764</v>
      </c>
      <c r="P64" s="68">
        <f>(H64+J64+K64+L64+M64+N64)*P$10</f>
        <v>6455.7481626000008</v>
      </c>
      <c r="Q64" s="68">
        <f>(H64+J64+K64+L64+M64+N64+O64+P64)*C64</f>
        <v>127823.81361948</v>
      </c>
      <c r="R64" s="73">
        <f>Q64*12</f>
        <v>1533885.76343376</v>
      </c>
    </row>
    <row r="65" spans="1:19" ht="24">
      <c r="A65" s="85">
        <v>18531</v>
      </c>
      <c r="B65" s="72" t="s">
        <v>35</v>
      </c>
      <c r="C65" s="69">
        <v>2</v>
      </c>
      <c r="D65" s="69">
        <v>3</v>
      </c>
      <c r="E65" s="69">
        <v>1.69</v>
      </c>
      <c r="F65" s="69">
        <v>1.2</v>
      </c>
      <c r="G65" s="69"/>
      <c r="H65" s="69">
        <f t="shared" si="12"/>
        <v>8633.1959999999999</v>
      </c>
      <c r="I65" s="69"/>
      <c r="J65" s="69">
        <f>H65*J10</f>
        <v>345.32783999999998</v>
      </c>
      <c r="K65" s="69"/>
      <c r="L65" s="69"/>
      <c r="M65" s="69"/>
      <c r="N65" s="68">
        <f>(H65+J65+K65+L65+M65)*N$10</f>
        <v>897.85238400000003</v>
      </c>
      <c r="O65" s="68">
        <f>(H65+J65+K65+L65+M65+N65)*O$10</f>
        <v>6913.463356799999</v>
      </c>
      <c r="P65" s="68">
        <f>(H65+J65+K65+L65+M65+N65)*P$10</f>
        <v>4938.1881119999998</v>
      </c>
      <c r="Q65" s="68">
        <f>(H65+J65+K65+L65+M65+N65+O65+P65)*C65</f>
        <v>43456.055385599997</v>
      </c>
      <c r="R65" s="73">
        <f>Q65*1*12</f>
        <v>521472.66462719999</v>
      </c>
    </row>
    <row r="66" spans="1:19">
      <c r="A66" s="85">
        <v>19906</v>
      </c>
      <c r="B66" s="72" t="s">
        <v>30</v>
      </c>
      <c r="C66" s="69">
        <v>1</v>
      </c>
      <c r="D66" s="69">
        <v>7</v>
      </c>
      <c r="E66" s="69">
        <v>2.76</v>
      </c>
      <c r="F66" s="69">
        <v>1.2</v>
      </c>
      <c r="G66" s="69"/>
      <c r="H66" s="69">
        <f t="shared" si="12"/>
        <v>14099.183999999999</v>
      </c>
      <c r="I66" s="69"/>
      <c r="J66" s="69">
        <f>H66*J10</f>
        <v>563.96735999999999</v>
      </c>
      <c r="K66" s="69"/>
      <c r="L66" s="69"/>
      <c r="M66" s="69"/>
      <c r="N66" s="68">
        <f>(H66+J66+K66+L66+M66)*N$10</f>
        <v>1466.3151360000002</v>
      </c>
      <c r="O66" s="68">
        <f>(H66+J66+K66+L66+M66+N66)*O$10</f>
        <v>11290.6265472</v>
      </c>
      <c r="P66" s="68">
        <f>(H66+J66+K66+L66+M66+N66)*P$10</f>
        <v>8064.7332480000005</v>
      </c>
      <c r="Q66" s="68">
        <f>(H66+J66+K66+L66+M66+N66+O66+P66)*C66</f>
        <v>35484.826291200006</v>
      </c>
      <c r="R66" s="73">
        <f>Q66*12</f>
        <v>425817.91549440008</v>
      </c>
    </row>
    <row r="67" spans="1:19" ht="24">
      <c r="A67" s="85">
        <v>19861</v>
      </c>
      <c r="B67" s="72" t="s">
        <v>36</v>
      </c>
      <c r="C67" s="69">
        <v>1</v>
      </c>
      <c r="D67" s="69">
        <v>5</v>
      </c>
      <c r="E67" s="69">
        <v>2.16</v>
      </c>
      <c r="F67" s="69">
        <v>1.2</v>
      </c>
      <c r="G67" s="69"/>
      <c r="H67" s="69">
        <f t="shared" si="12"/>
        <v>11034.144</v>
      </c>
      <c r="I67" s="69"/>
      <c r="J67" s="69">
        <f>H67*J10</f>
        <v>441.36576000000002</v>
      </c>
      <c r="K67" s="69"/>
      <c r="L67" s="69"/>
      <c r="M67" s="69"/>
      <c r="N67" s="68">
        <f>(H67+J67+K67+L67+M67)*N$10</f>
        <v>1147.5509760000002</v>
      </c>
      <c r="O67" s="68">
        <f>(H67+J67+K67+L67+M67+N67)*O$10</f>
        <v>8836.1425152000011</v>
      </c>
      <c r="P67" s="68">
        <f>(H67+J67+K67+L67+M67+N67)*P$10</f>
        <v>6311.5303680000006</v>
      </c>
      <c r="Q67" s="68">
        <f>(H67+J67+K67+L67+M67+N67+O67+P67)*C67</f>
        <v>27770.7336192</v>
      </c>
      <c r="R67" s="73">
        <f>Q67*12</f>
        <v>333248.80343039997</v>
      </c>
    </row>
    <row r="68" spans="1:19">
      <c r="A68" s="85"/>
      <c r="B68" s="72" t="s">
        <v>29</v>
      </c>
      <c r="C68" s="69">
        <f>SUM(C64:C67)</f>
        <v>8.5</v>
      </c>
      <c r="D68" s="69"/>
      <c r="E68" s="69"/>
      <c r="F68" s="69"/>
      <c r="G68" s="69"/>
      <c r="H68" s="69">
        <f>(H64*C64)+(H65*C65)+H66+H67</f>
        <v>86306.417999999991</v>
      </c>
      <c r="I68" s="69"/>
      <c r="J68" s="69"/>
      <c r="K68" s="69"/>
      <c r="L68" s="69"/>
      <c r="M68" s="69"/>
      <c r="N68" s="69"/>
      <c r="O68" s="69"/>
      <c r="P68" s="69"/>
      <c r="Q68" s="69"/>
      <c r="R68" s="73">
        <f>SUM(R64:R67)</f>
        <v>2814425.14698576</v>
      </c>
      <c r="S68" s="7"/>
    </row>
    <row r="69" spans="1:19">
      <c r="A69" s="85"/>
      <c r="B69" s="72" t="s">
        <v>38</v>
      </c>
      <c r="C69" s="69">
        <v>0.1</v>
      </c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73"/>
      <c r="S69" s="7"/>
    </row>
    <row r="70" spans="1:19">
      <c r="A70" s="85"/>
      <c r="B70" s="72" t="s">
        <v>40</v>
      </c>
      <c r="C70" s="69">
        <v>0.7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73"/>
      <c r="S70" s="7"/>
    </row>
    <row r="71" spans="1:19">
      <c r="A71" s="85"/>
      <c r="B71" s="72" t="s">
        <v>39</v>
      </c>
      <c r="C71" s="69">
        <v>0.5</v>
      </c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73"/>
      <c r="S71" s="7"/>
    </row>
    <row r="72" spans="1:19">
      <c r="A72" s="85"/>
      <c r="B72" s="74" t="s">
        <v>29</v>
      </c>
      <c r="C72" s="75">
        <f>C68</f>
        <v>8.5</v>
      </c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3">
        <f>R68+R69+R70+R71</f>
        <v>2814425.14698576</v>
      </c>
      <c r="S72" s="7"/>
    </row>
    <row r="73" spans="1:19">
      <c r="A73" s="85"/>
      <c r="B73" s="107" t="s">
        <v>69</v>
      </c>
      <c r="C73" s="107"/>
      <c r="D73" s="107"/>
      <c r="E73" s="107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73"/>
    </row>
    <row r="74" spans="1:19">
      <c r="A74" s="85">
        <v>18560</v>
      </c>
      <c r="B74" s="72" t="s">
        <v>0</v>
      </c>
      <c r="C74" s="69">
        <v>0.5</v>
      </c>
      <c r="D74" s="69">
        <v>3</v>
      </c>
      <c r="E74" s="69">
        <v>1.69</v>
      </c>
      <c r="F74" s="69">
        <v>1.2</v>
      </c>
      <c r="G74" s="69"/>
      <c r="H74" s="69">
        <f t="shared" ref="H74:H75" si="13">H$7*E74*F74</f>
        <v>8633.1959999999999</v>
      </c>
      <c r="I74" s="69"/>
      <c r="J74" s="69"/>
      <c r="K74" s="69"/>
      <c r="L74" s="69"/>
      <c r="M74" s="69"/>
      <c r="N74" s="68">
        <f>(H74+J74+K74+L74+M74)*N$10</f>
        <v>863.31960000000004</v>
      </c>
      <c r="O74" s="68">
        <f>(H74+J74+K74+L74+M74+N74)*O$10</f>
        <v>6647.5609199999999</v>
      </c>
      <c r="P74" s="68">
        <f>(H74+J74+K74+L74+M74+N74)*P$10</f>
        <v>4748.2578000000003</v>
      </c>
      <c r="Q74" s="68">
        <f>(H74+J74+K74+L74+M74+N74+O74+P74)*C74</f>
        <v>10446.167160000001</v>
      </c>
      <c r="R74" s="73">
        <f>Q74*12</f>
        <v>125354.00592000001</v>
      </c>
    </row>
    <row r="75" spans="1:19">
      <c r="A75" s="85">
        <v>11471</v>
      </c>
      <c r="B75" s="72" t="s">
        <v>7</v>
      </c>
      <c r="C75" s="69">
        <v>0.3</v>
      </c>
      <c r="D75" s="69">
        <v>1</v>
      </c>
      <c r="E75" s="69">
        <v>1</v>
      </c>
      <c r="F75" s="69">
        <v>1.2</v>
      </c>
      <c r="G75" s="69"/>
      <c r="H75" s="69">
        <f t="shared" si="13"/>
        <v>5108.3999999999996</v>
      </c>
      <c r="I75" s="69"/>
      <c r="J75" s="69"/>
      <c r="K75" s="69">
        <f>H75*K10</f>
        <v>153.25199999999998</v>
      </c>
      <c r="L75" s="69"/>
      <c r="M75" s="69"/>
      <c r="N75" s="68">
        <f>(H75+J75+K75+L75+M75)*0.25</f>
        <v>1315.413</v>
      </c>
      <c r="O75" s="68">
        <f>(H75+J75+K75+L75+M75+N75)*O$10</f>
        <v>4603.9454999999998</v>
      </c>
      <c r="P75" s="68">
        <f>(H75+J75+K75+L75+M75+N75)*P$10</f>
        <v>3288.5325000000003</v>
      </c>
      <c r="Q75" s="68">
        <f>(H75+J75+K75+L75+M75+N75+O75+P75)*C75</f>
        <v>4340.8629000000001</v>
      </c>
      <c r="R75" s="73">
        <f>Q75*12</f>
        <v>52090.354800000001</v>
      </c>
    </row>
    <row r="76" spans="1:19">
      <c r="A76" s="71"/>
      <c r="B76" s="72" t="s">
        <v>29</v>
      </c>
      <c r="C76" s="69">
        <f>SUM(C74:C75)</f>
        <v>0.8</v>
      </c>
      <c r="D76" s="69"/>
      <c r="E76" s="69"/>
      <c r="F76" s="69"/>
      <c r="G76" s="69"/>
      <c r="H76" s="69">
        <f>(H74*C74)+(H75*C75)</f>
        <v>5849.1179999999995</v>
      </c>
      <c r="I76" s="69"/>
      <c r="J76" s="69"/>
      <c r="K76" s="69"/>
      <c r="L76" s="69"/>
      <c r="M76" s="69"/>
      <c r="N76" s="69"/>
      <c r="O76" s="69"/>
      <c r="P76" s="69"/>
      <c r="Q76" s="69"/>
      <c r="R76" s="73">
        <f>SUM(R74:R75)</f>
        <v>177444.36072</v>
      </c>
    </row>
    <row r="77" spans="1:19">
      <c r="A77" s="71"/>
      <c r="B77" s="72" t="s">
        <v>38</v>
      </c>
      <c r="C77" s="69">
        <v>0.25</v>
      </c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73"/>
    </row>
    <row r="78" spans="1:19">
      <c r="A78" s="71"/>
      <c r="B78" s="72" t="s">
        <v>40</v>
      </c>
      <c r="C78" s="69">
        <v>0.7</v>
      </c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73"/>
    </row>
    <row r="79" spans="1:19">
      <c r="A79" s="71"/>
      <c r="B79" s="72" t="s">
        <v>39</v>
      </c>
      <c r="C79" s="69">
        <v>0.5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73"/>
    </row>
    <row r="80" spans="1:19">
      <c r="A80" s="71"/>
      <c r="B80" s="74" t="s">
        <v>29</v>
      </c>
      <c r="C80" s="75">
        <f>C76</f>
        <v>0.8</v>
      </c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3">
        <f>SUM(R76:R79)</f>
        <v>177444.36072</v>
      </c>
      <c r="S80" s="7"/>
    </row>
    <row r="81" spans="1:18">
      <c r="A81" s="71"/>
      <c r="B81" s="74" t="s">
        <v>70</v>
      </c>
      <c r="C81" s="75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3"/>
    </row>
    <row r="82" spans="1:18">
      <c r="A82" s="85">
        <v>11442</v>
      </c>
      <c r="B82" s="72" t="s">
        <v>31</v>
      </c>
      <c r="C82" s="69">
        <v>0.3</v>
      </c>
      <c r="D82" s="69">
        <v>5</v>
      </c>
      <c r="E82" s="69">
        <v>2.16</v>
      </c>
      <c r="F82" s="69">
        <v>1.2</v>
      </c>
      <c r="G82" s="69"/>
      <c r="H82" s="69">
        <f t="shared" ref="H82" si="14">H$7*E82*F82</f>
        <v>11034.144</v>
      </c>
      <c r="I82" s="69"/>
      <c r="J82" s="69"/>
      <c r="K82" s="69">
        <f>H82*K10</f>
        <v>331.02431999999999</v>
      </c>
      <c r="L82" s="69">
        <f>H82*0.1</f>
        <v>1103.4144000000001</v>
      </c>
      <c r="M82" s="69"/>
      <c r="N82" s="68">
        <f>(H82+J82+K82+L82+M82)*N$10</f>
        <v>1246.8582720000002</v>
      </c>
      <c r="O82" s="68">
        <f>(H82+J82+K82+L82+M82+N82)*O$10</f>
        <v>9600.8086943999988</v>
      </c>
      <c r="P82" s="68">
        <f>(H82+J82+K82+L82+M82+N82)*P$10</f>
        <v>6857.7204959999999</v>
      </c>
      <c r="Q82" s="68">
        <f>(H82+J82+K82+L82+M82+N82+O82+P82)*C82</f>
        <v>9052.1910547200005</v>
      </c>
      <c r="R82" s="73">
        <f>Q82*12</f>
        <v>108626.29265664</v>
      </c>
    </row>
    <row r="83" spans="1:18">
      <c r="A83" s="85"/>
      <c r="B83" s="72" t="s">
        <v>38</v>
      </c>
      <c r="C83" s="69">
        <v>0.1</v>
      </c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73"/>
    </row>
    <row r="84" spans="1:18">
      <c r="A84" s="85"/>
      <c r="B84" s="72" t="s">
        <v>40</v>
      </c>
      <c r="C84" s="69">
        <v>0.7</v>
      </c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73"/>
    </row>
    <row r="85" spans="1:18">
      <c r="A85" s="85"/>
      <c r="B85" s="72" t="s">
        <v>39</v>
      </c>
      <c r="C85" s="69">
        <v>0.5</v>
      </c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73"/>
    </row>
    <row r="86" spans="1:18">
      <c r="A86" s="85"/>
      <c r="B86" s="74" t="s">
        <v>29</v>
      </c>
      <c r="C86" s="75">
        <f>C82</f>
        <v>0.3</v>
      </c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3">
        <f>SUM(R82:R85)</f>
        <v>108626.29265664</v>
      </c>
    </row>
    <row r="87" spans="1:18">
      <c r="A87" s="85"/>
      <c r="B87" s="74" t="s">
        <v>71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73"/>
    </row>
    <row r="88" spans="1:18">
      <c r="A88" s="85">
        <v>11442</v>
      </c>
      <c r="B88" s="72" t="s">
        <v>56</v>
      </c>
      <c r="C88" s="69">
        <v>0.5</v>
      </c>
      <c r="D88" s="69">
        <v>5</v>
      </c>
      <c r="E88" s="69">
        <v>2.16</v>
      </c>
      <c r="F88" s="69">
        <v>1.2</v>
      </c>
      <c r="G88" s="69"/>
      <c r="H88" s="69">
        <f t="shared" ref="H88" si="15">H$7*E88*F88</f>
        <v>11034.144</v>
      </c>
      <c r="I88" s="69"/>
      <c r="J88" s="69">
        <f>H88*J10</f>
        <v>441.36576000000002</v>
      </c>
      <c r="K88" s="69"/>
      <c r="L88" s="69">
        <f>H88*10%</f>
        <v>1103.4144000000001</v>
      </c>
      <c r="M88" s="69"/>
      <c r="N88" s="68">
        <f>(H88+J88+K88+L88+M88)*N$10</f>
        <v>1257.8924160000001</v>
      </c>
      <c r="O88" s="68">
        <f>(H88+J88+K88+L88+M88+N88)*O$10</f>
        <v>9685.7716032000008</v>
      </c>
      <c r="P88" s="68">
        <f>(H88+J88+K88+L88+M88+N88)*P$10</f>
        <v>6918.4082880000005</v>
      </c>
      <c r="Q88" s="68">
        <f>(H88+J88+K88+L88+M88+N88+O88+P88)*C88</f>
        <v>15220.498233599999</v>
      </c>
      <c r="R88" s="73">
        <f>Q88*12</f>
        <v>182645.97880320001</v>
      </c>
    </row>
    <row r="89" spans="1:18">
      <c r="A89" s="71"/>
      <c r="B89" s="72" t="s">
        <v>29</v>
      </c>
      <c r="C89" s="69">
        <f>SUM(C88:C88)</f>
        <v>0.5</v>
      </c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73">
        <f>SUM(R88:R88)</f>
        <v>182645.97880320001</v>
      </c>
    </row>
    <row r="90" spans="1:18">
      <c r="A90" s="71"/>
      <c r="B90" s="72" t="s">
        <v>38</v>
      </c>
      <c r="C90" s="69">
        <v>0.1</v>
      </c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73"/>
    </row>
    <row r="91" spans="1:18">
      <c r="A91" s="71"/>
      <c r="B91" s="72" t="s">
        <v>40</v>
      </c>
      <c r="C91" s="69">
        <v>0.7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73"/>
    </row>
    <row r="92" spans="1:18">
      <c r="A92" s="71"/>
      <c r="B92" s="72" t="s">
        <v>39</v>
      </c>
      <c r="C92" s="69">
        <v>0.5</v>
      </c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73"/>
    </row>
    <row r="93" spans="1:18">
      <c r="A93" s="71"/>
      <c r="B93" s="74" t="s">
        <v>29</v>
      </c>
      <c r="C93" s="75">
        <f>C89</f>
        <v>0.5</v>
      </c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3">
        <f>R89+R90+R91+R92</f>
        <v>182645.97880320001</v>
      </c>
    </row>
    <row r="94" spans="1:18">
      <c r="A94" s="71"/>
      <c r="B94" s="74" t="s">
        <v>32</v>
      </c>
      <c r="C94" s="75">
        <f>C93+C86+C80+C72</f>
        <v>10.1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63">
        <f>R93+R86+R80+R72</f>
        <v>3283141.7791656</v>
      </c>
    </row>
    <row r="95" spans="1:18">
      <c r="A95" s="71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73"/>
    </row>
    <row r="96" spans="1:18">
      <c r="A96" s="79"/>
      <c r="B96" s="80" t="s">
        <v>32</v>
      </c>
      <c r="C96" s="80">
        <f>C61+C94+C29</f>
        <v>27.2</v>
      </c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2">
        <f>+R61+R94</f>
        <v>10956580.845629761</v>
      </c>
    </row>
    <row r="98" spans="1:19" ht="12.75">
      <c r="E98" s="35"/>
      <c r="F98" s="35"/>
      <c r="G98" s="35"/>
      <c r="H98" s="35"/>
      <c r="I98" s="35"/>
      <c r="J98" s="35"/>
      <c r="K98" s="35"/>
    </row>
    <row r="99" spans="1:19" ht="12.75">
      <c r="E99" s="35"/>
      <c r="F99" s="35"/>
      <c r="G99" s="35"/>
      <c r="H99" s="35"/>
      <c r="I99" s="35"/>
      <c r="J99" s="35"/>
      <c r="K99" s="35"/>
    </row>
    <row r="100" spans="1:19" ht="12.75">
      <c r="G100" s="35"/>
      <c r="H100" s="35"/>
      <c r="I100" s="35"/>
      <c r="J100" s="35"/>
      <c r="K100" s="35"/>
    </row>
    <row r="101" spans="1:19" ht="12.75">
      <c r="E101" s="35"/>
      <c r="F101" s="35"/>
      <c r="G101" s="35"/>
      <c r="H101" s="35"/>
      <c r="I101" s="35"/>
      <c r="J101" s="35"/>
      <c r="K101" s="35"/>
    </row>
    <row r="102" spans="1:19" ht="12.75">
      <c r="B102" s="38"/>
      <c r="E102" s="35"/>
      <c r="F102" s="35"/>
      <c r="G102" s="35"/>
      <c r="H102" s="35"/>
      <c r="I102" s="35"/>
      <c r="J102" s="35"/>
      <c r="K102" s="35"/>
    </row>
    <row r="103" spans="1:19" ht="12.75">
      <c r="E103" s="35"/>
      <c r="F103" s="35"/>
    </row>
    <row r="110" spans="1:1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4.25">
      <c r="A113" s="3"/>
      <c r="B113" s="41"/>
      <c r="C113" s="41"/>
      <c r="D113" s="41"/>
      <c r="E113" s="41"/>
      <c r="F113" s="41"/>
      <c r="G113" s="41"/>
      <c r="H113" s="4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/>
      <c r="B116" s="102"/>
      <c r="C116" s="102"/>
      <c r="D116" s="102"/>
      <c r="E116" s="10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4"/>
      <c r="R116" s="4"/>
      <c r="S116" s="3"/>
    </row>
    <row r="117" spans="1:19">
      <c r="A117" s="42"/>
      <c r="B117" s="43"/>
      <c r="C117" s="44"/>
      <c r="D117" s="44"/>
      <c r="E117" s="44"/>
      <c r="F117" s="45"/>
      <c r="G117" s="42"/>
      <c r="H117" s="46"/>
      <c r="I117" s="42"/>
      <c r="J117" s="42"/>
      <c r="K117" s="42"/>
      <c r="L117" s="42"/>
      <c r="M117" s="42"/>
      <c r="N117" s="42"/>
      <c r="O117" s="42"/>
      <c r="P117" s="42"/>
      <c r="Q117" s="46"/>
      <c r="R117" s="46"/>
      <c r="S117" s="3"/>
    </row>
    <row r="118" spans="1:19">
      <c r="A118" s="42"/>
      <c r="B118" s="43"/>
      <c r="C118" s="44"/>
      <c r="D118" s="44"/>
      <c r="E118" s="44"/>
      <c r="F118" s="45"/>
      <c r="G118" s="42"/>
      <c r="H118" s="46"/>
      <c r="I118" s="42"/>
      <c r="J118" s="46"/>
      <c r="K118" s="42"/>
      <c r="L118" s="42"/>
      <c r="M118" s="42"/>
      <c r="N118" s="42"/>
      <c r="O118" s="42"/>
      <c r="P118" s="42"/>
      <c r="Q118" s="46"/>
      <c r="R118" s="46"/>
      <c r="S118" s="3"/>
    </row>
    <row r="119" spans="1:19">
      <c r="A119" s="42"/>
      <c r="B119" s="43"/>
      <c r="C119" s="44"/>
      <c r="D119" s="44"/>
      <c r="E119" s="44"/>
      <c r="F119" s="45"/>
      <c r="G119" s="42"/>
      <c r="H119" s="46"/>
      <c r="I119" s="42"/>
      <c r="J119" s="46"/>
      <c r="K119" s="42"/>
      <c r="L119" s="42"/>
      <c r="M119" s="42"/>
      <c r="N119" s="42"/>
      <c r="O119" s="42"/>
      <c r="P119" s="42"/>
      <c r="Q119" s="46"/>
      <c r="R119" s="46"/>
      <c r="S119" s="3"/>
    </row>
    <row r="120" spans="1:19">
      <c r="A120" s="42"/>
      <c r="B120" s="43"/>
      <c r="C120" s="44"/>
      <c r="D120" s="44"/>
      <c r="E120" s="44"/>
      <c r="F120" s="45"/>
      <c r="G120" s="42"/>
      <c r="H120" s="46"/>
      <c r="I120" s="42"/>
      <c r="J120" s="46"/>
      <c r="K120" s="42"/>
      <c r="L120" s="42"/>
      <c r="M120" s="42"/>
      <c r="N120" s="42"/>
      <c r="O120" s="42"/>
      <c r="P120" s="42"/>
      <c r="Q120" s="46"/>
      <c r="R120" s="46"/>
      <c r="S120" s="3"/>
    </row>
    <row r="121" spans="1:19">
      <c r="A121" s="42"/>
      <c r="B121" s="43"/>
      <c r="C121" s="44"/>
      <c r="D121" s="44"/>
      <c r="E121" s="44"/>
      <c r="F121" s="45"/>
      <c r="G121" s="42"/>
      <c r="H121" s="46"/>
      <c r="I121" s="42"/>
      <c r="J121" s="46"/>
      <c r="K121" s="46"/>
      <c r="L121" s="42"/>
      <c r="M121" s="46"/>
      <c r="N121" s="46"/>
      <c r="O121" s="46"/>
      <c r="P121" s="46"/>
      <c r="Q121" s="46"/>
      <c r="R121" s="46"/>
      <c r="S121" s="3"/>
    </row>
    <row r="122" spans="1:19">
      <c r="A122" s="42"/>
      <c r="B122" s="43"/>
      <c r="C122" s="44"/>
      <c r="D122" s="44"/>
      <c r="E122" s="44"/>
      <c r="F122" s="45"/>
      <c r="G122" s="42"/>
      <c r="H122" s="46"/>
      <c r="I122" s="42"/>
      <c r="J122" s="46"/>
      <c r="K122" s="46"/>
      <c r="L122" s="42"/>
      <c r="M122" s="46"/>
      <c r="N122" s="46"/>
      <c r="O122" s="46"/>
      <c r="P122" s="46"/>
      <c r="Q122" s="46"/>
      <c r="R122" s="46"/>
      <c r="S122" s="3"/>
    </row>
    <row r="123" spans="1:19">
      <c r="A123" s="3"/>
      <c r="B123" s="47"/>
      <c r="C123" s="40"/>
      <c r="D123" s="40"/>
      <c r="E123" s="40"/>
      <c r="F123" s="40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4"/>
      <c r="R123" s="4"/>
      <c r="S123" s="3"/>
    </row>
    <row r="124" spans="1:19">
      <c r="A124" s="3"/>
      <c r="B124" s="47"/>
      <c r="C124" s="48"/>
      <c r="D124" s="40"/>
      <c r="E124" s="40"/>
      <c r="F124" s="4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4"/>
      <c r="R124" s="4"/>
      <c r="S124" s="3"/>
    </row>
    <row r="125" spans="1:19">
      <c r="A125" s="3"/>
      <c r="B125" s="47"/>
      <c r="C125" s="48"/>
      <c r="D125" s="40"/>
      <c r="E125" s="40"/>
      <c r="F125" s="40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4"/>
      <c r="R125" s="4"/>
      <c r="S125" s="3"/>
    </row>
    <row r="126" spans="1:19">
      <c r="A126" s="3"/>
      <c r="B126" s="47"/>
      <c r="C126" s="48"/>
      <c r="D126" s="40"/>
      <c r="E126" s="40"/>
      <c r="F126" s="4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4"/>
      <c r="R126" s="4"/>
      <c r="S126" s="3"/>
    </row>
    <row r="127" spans="1:19">
      <c r="A127" s="3"/>
      <c r="B127" s="47"/>
      <c r="C127" s="48"/>
      <c r="D127" s="40"/>
      <c r="E127" s="40"/>
      <c r="F127" s="40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4"/>
      <c r="R127" s="4"/>
      <c r="S127" s="3"/>
    </row>
    <row r="128" spans="1:19">
      <c r="A128" s="3"/>
      <c r="B128" s="47"/>
      <c r="C128" s="48"/>
      <c r="D128" s="40"/>
      <c r="E128" s="40"/>
      <c r="F128" s="40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4"/>
      <c r="R128" s="4"/>
      <c r="S128" s="3"/>
    </row>
    <row r="129" spans="1:19">
      <c r="A129" s="3"/>
      <c r="B129" s="29"/>
      <c r="C129" s="93"/>
      <c r="D129" s="40"/>
      <c r="E129" s="40"/>
      <c r="F129" s="4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4"/>
      <c r="R129" s="36"/>
      <c r="S129" s="3"/>
    </row>
    <row r="130" spans="1:19">
      <c r="A130" s="3"/>
      <c r="B130" s="47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4"/>
      <c r="R130" s="4"/>
      <c r="S130" s="3"/>
    </row>
    <row r="131" spans="1:1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2.75">
      <c r="A135" s="3"/>
      <c r="B135" s="3"/>
      <c r="C135" s="3"/>
      <c r="D135" s="3"/>
      <c r="E135" s="49"/>
      <c r="F135" s="49"/>
      <c r="G135" s="49"/>
      <c r="H135" s="49"/>
      <c r="I135" s="49"/>
      <c r="J135" s="49"/>
      <c r="K135" s="49"/>
      <c r="L135" s="3"/>
      <c r="M135" s="3"/>
      <c r="N135" s="3"/>
      <c r="O135" s="3"/>
      <c r="P135" s="3"/>
      <c r="Q135" s="3"/>
      <c r="R135" s="3"/>
      <c r="S135" s="3"/>
    </row>
    <row r="136" spans="1:19" ht="12.75">
      <c r="A136" s="3"/>
      <c r="B136" s="3"/>
      <c r="C136" s="3"/>
      <c r="D136" s="3"/>
      <c r="E136" s="49"/>
      <c r="F136" s="49"/>
      <c r="G136" s="49"/>
      <c r="H136" s="49"/>
      <c r="I136" s="49"/>
      <c r="J136" s="49"/>
      <c r="K136" s="49"/>
      <c r="L136" s="3"/>
      <c r="M136" s="3"/>
      <c r="N136" s="3"/>
      <c r="O136" s="3"/>
      <c r="P136" s="3"/>
      <c r="Q136" s="3"/>
      <c r="R136" s="3"/>
      <c r="S136" s="3"/>
    </row>
    <row r="137" spans="1:19" ht="12.75">
      <c r="A137" s="3"/>
      <c r="B137" s="3"/>
      <c r="C137" s="3"/>
      <c r="D137" s="3"/>
      <c r="E137" s="49"/>
      <c r="F137" s="49"/>
      <c r="G137" s="49"/>
      <c r="H137" s="49"/>
      <c r="I137" s="49"/>
      <c r="J137" s="49"/>
      <c r="K137" s="49"/>
      <c r="L137" s="3"/>
      <c r="M137" s="3"/>
      <c r="N137" s="3"/>
      <c r="O137" s="3"/>
      <c r="P137" s="3"/>
      <c r="Q137" s="3"/>
      <c r="R137" s="3"/>
      <c r="S137" s="3"/>
    </row>
    <row r="138" spans="1:19" ht="12.75">
      <c r="A138" s="3"/>
      <c r="B138" s="3"/>
      <c r="C138" s="3"/>
      <c r="D138" s="3"/>
      <c r="E138" s="49"/>
      <c r="F138" s="49"/>
      <c r="G138" s="49"/>
      <c r="H138" s="49"/>
      <c r="I138" s="49"/>
      <c r="J138" s="49"/>
      <c r="K138" s="49"/>
      <c r="L138" s="3"/>
      <c r="M138" s="3"/>
      <c r="N138" s="3"/>
      <c r="O138" s="3"/>
      <c r="P138" s="3"/>
      <c r="Q138" s="3"/>
      <c r="R138" s="3"/>
      <c r="S138" s="3"/>
    </row>
    <row r="139" spans="1:19" ht="12.75">
      <c r="A139" s="3"/>
      <c r="B139" s="3"/>
      <c r="C139" s="3"/>
      <c r="D139" s="3"/>
      <c r="E139" s="49"/>
      <c r="F139" s="49"/>
      <c r="G139" s="49"/>
      <c r="H139" s="49"/>
      <c r="I139" s="49"/>
      <c r="J139" s="49"/>
      <c r="K139" s="49"/>
      <c r="L139" s="3"/>
      <c r="M139" s="3"/>
      <c r="N139" s="3"/>
      <c r="O139" s="3"/>
      <c r="P139" s="3"/>
      <c r="Q139" s="3"/>
      <c r="R139" s="3"/>
      <c r="S139" s="3"/>
    </row>
    <row r="140" spans="1:19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</sheetData>
  <mergeCells count="8">
    <mergeCell ref="B73:E73"/>
    <mergeCell ref="B116:E116"/>
    <mergeCell ref="N1:Q1"/>
    <mergeCell ref="N8:N9"/>
    <mergeCell ref="O8:O9"/>
    <mergeCell ref="P8:P9"/>
    <mergeCell ref="B40:E40"/>
    <mergeCell ref="A62:K62"/>
  </mergeCells>
  <pageMargins left="0.59055118110236227" right="0.39370078740157483" top="0.78740157480314965" bottom="0.59055118110236227" header="0.19685039370078741" footer="0.19685039370078741"/>
  <pageSetup paperSize="9" scale="96" orientation="landscape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№Т-3 тит.</vt:lpstr>
      <vt:lpstr>Штатное</vt:lpstr>
      <vt:lpstr>Штатное коэф.</vt:lpstr>
      <vt:lpstr>Штатное 2017</vt:lpstr>
      <vt:lpstr>Штатное 2018</vt:lpstr>
      <vt:lpstr>Штатное 2019</vt:lpstr>
      <vt:lpstr>Штатное!Заголовки_для_печати</vt:lpstr>
      <vt:lpstr>'Штатное 2017'!Заголовки_для_печати</vt:lpstr>
      <vt:lpstr>'Штатное 2018'!Заголовки_для_печати</vt:lpstr>
      <vt:lpstr>'Штатное 2019'!Заголовки_для_печати</vt:lpstr>
      <vt:lpstr>'Штатное коэф.'!Заголовки_для_печати</vt:lpstr>
      <vt:lpstr>Штатное!Область_печати</vt:lpstr>
      <vt:lpstr>'Штатное 2017'!Область_печати</vt:lpstr>
      <vt:lpstr>'Штатное 2018'!Область_печати</vt:lpstr>
      <vt:lpstr>'Штатное 2019'!Область_печати</vt:lpstr>
      <vt:lpstr>'Штатное коэф.'!Область_печати</vt:lpstr>
    </vt:vector>
  </TitlesOfParts>
  <Company>Неизвестная 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Супер ЮРИСТ</cp:lastModifiedBy>
  <cp:lastPrinted>2019-02-22T07:36:14Z</cp:lastPrinted>
  <dcterms:created xsi:type="dcterms:W3CDTF">1998-06-19T04:13:26Z</dcterms:created>
  <dcterms:modified xsi:type="dcterms:W3CDTF">2019-02-22T07:36:36Z</dcterms:modified>
</cp:coreProperties>
</file>